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T_SNNPTNT\Downloads\"/>
    </mc:Choice>
  </mc:AlternateContent>
  <bookViews>
    <workbookView xWindow="0" yWindow="0" windowWidth="28800" windowHeight="12435" activeTab="1"/>
  </bookViews>
  <sheets>
    <sheet name="Biểu 01" sheetId="4" r:id="rId1"/>
    <sheet name="Biểu 3" sheetId="6" r:id="rId2"/>
    <sheet name="Biểu 02" sheetId="16" r:id="rId3"/>
    <sheet name="Biểu 2a" sheetId="12" r:id="rId4"/>
    <sheet name="Biểu 2b" sheetId="13" r:id="rId5"/>
    <sheet name="Biểu 2c" sheetId="14" r:id="rId6"/>
  </sheets>
  <definedNames>
    <definedName name="_xlnm._FilterDatabase" localSheetId="0" hidden="1">'Biểu 01'!$A$4:$L$153</definedName>
    <definedName name="_xlnm._FilterDatabase" localSheetId="3" hidden="1">'Biểu 2a'!$A$4:$L$126</definedName>
    <definedName name="_xlnm._FilterDatabase" localSheetId="4" hidden="1">'Biểu 2b'!$A$4:$R$91</definedName>
    <definedName name="_xlnm._FilterDatabase" localSheetId="5" hidden="1">'Biểu 2c'!$A$4:$M$99</definedName>
    <definedName name="_xlnm._FilterDatabase" localSheetId="1" hidden="1">'Biểu 3'!$A$4:$O$153</definedName>
    <definedName name="_xlnm.Print_Titles" localSheetId="0">'Biểu 01'!$3:$4</definedName>
    <definedName name="_xlnm.Print_Titles" localSheetId="2">'Biểu 02'!$3:$4</definedName>
    <definedName name="_xlnm.Print_Titles" localSheetId="3">'Biểu 2a'!$3:$4</definedName>
    <definedName name="_xlnm.Print_Titles" localSheetId="4">'Biểu 2b'!$3:$4</definedName>
    <definedName name="_xlnm.Print_Titles" localSheetId="5">'Biểu 2c'!$3:$4</definedName>
    <definedName name="_xlnm.Print_Titles" localSheetId="1">'Biểu 3'!$3:$4</definedName>
  </definedNames>
  <calcPr calcId="152511"/>
</workbook>
</file>

<file path=xl/calcChain.xml><?xml version="1.0" encoding="utf-8"?>
<calcChain xmlns="http://schemas.openxmlformats.org/spreadsheetml/2006/main">
  <c r="F185" i="6" l="1"/>
  <c r="F186" i="6"/>
  <c r="F184" i="6"/>
  <c r="K6" i="6"/>
  <c r="K5" i="6"/>
  <c r="H178" i="6"/>
  <c r="D186" i="6"/>
  <c r="D184" i="6"/>
  <c r="F180" i="6"/>
  <c r="F175" i="6"/>
  <c r="L8" i="6"/>
  <c r="M19" i="6"/>
  <c r="K11" i="6"/>
  <c r="A2" i="6" l="1"/>
  <c r="A2" i="12"/>
  <c r="A2" i="14" s="1"/>
  <c r="A2" i="16"/>
  <c r="A2" i="13" l="1"/>
  <c r="K111" i="6"/>
  <c r="G33" i="6"/>
  <c r="F40" i="6"/>
  <c r="F52" i="6"/>
  <c r="G128" i="6"/>
  <c r="F134" i="6"/>
  <c r="F141" i="6"/>
  <c r="G141" i="6"/>
  <c r="G149" i="6"/>
  <c r="F62" i="6"/>
  <c r="F61" i="6"/>
  <c r="G48" i="6"/>
  <c r="L6" i="16" l="1"/>
  <c r="K6" i="16"/>
  <c r="L5" i="16"/>
  <c r="K5" i="16"/>
  <c r="K8" i="13" l="1"/>
  <c r="H5" i="16"/>
  <c r="G5" i="16"/>
  <c r="F5" i="16"/>
  <c r="E5" i="16"/>
  <c r="D5" i="16"/>
  <c r="C5" i="16"/>
  <c r="D14" i="16"/>
  <c r="K91" i="12"/>
  <c r="I75" i="13" l="1"/>
  <c r="H14" i="16"/>
  <c r="G14" i="16"/>
  <c r="F14" i="16"/>
  <c r="E14" i="16"/>
  <c r="C14" i="16"/>
  <c r="H6" i="16"/>
  <c r="G6" i="16"/>
  <c r="F6" i="16"/>
  <c r="E6" i="16"/>
  <c r="D6" i="16"/>
  <c r="C6" i="16"/>
  <c r="K5" i="14" l="1"/>
  <c r="I5" i="14"/>
  <c r="K6" i="14"/>
  <c r="K97" i="14"/>
  <c r="J97" i="14"/>
  <c r="K95" i="14"/>
  <c r="J95" i="14"/>
  <c r="K82" i="14"/>
  <c r="J82" i="14"/>
  <c r="K79" i="14"/>
  <c r="J79" i="14"/>
  <c r="K69" i="14"/>
  <c r="J69" i="14"/>
  <c r="K62" i="14"/>
  <c r="J62" i="14"/>
  <c r="K60" i="14"/>
  <c r="J60" i="14"/>
  <c r="K51" i="14"/>
  <c r="J51" i="14"/>
  <c r="K46" i="14"/>
  <c r="J46" i="14"/>
  <c r="K34" i="14"/>
  <c r="J34" i="14"/>
  <c r="K31" i="14"/>
  <c r="J31" i="14"/>
  <c r="K26" i="14"/>
  <c r="J26" i="14"/>
  <c r="K23" i="14"/>
  <c r="J23" i="14"/>
  <c r="K19" i="14"/>
  <c r="J19" i="14"/>
  <c r="K15" i="14"/>
  <c r="J15" i="14"/>
  <c r="K12" i="14"/>
  <c r="J12" i="14"/>
  <c r="K7" i="14"/>
  <c r="J7" i="14"/>
  <c r="I60" i="14"/>
  <c r="N21" i="14"/>
  <c r="O21" i="14" s="1"/>
  <c r="I97" i="14"/>
  <c r="I95" i="14"/>
  <c r="I82" i="14"/>
  <c r="I79" i="14"/>
  <c r="I69" i="14"/>
  <c r="I62" i="14"/>
  <c r="I51" i="14"/>
  <c r="I46" i="14"/>
  <c r="I34" i="14"/>
  <c r="I31" i="14"/>
  <c r="I26" i="14"/>
  <c r="I23" i="14"/>
  <c r="I19" i="14"/>
  <c r="I15" i="14"/>
  <c r="I12" i="14"/>
  <c r="I7" i="14"/>
  <c r="K25" i="14" l="1"/>
  <c r="J25" i="14"/>
  <c r="J6" i="14"/>
  <c r="J5" i="14" s="1"/>
  <c r="I25" i="14"/>
  <c r="I6" i="14"/>
  <c r="K91" i="13" l="1"/>
  <c r="K90" i="13"/>
  <c r="G67" i="13"/>
  <c r="I67" i="13"/>
  <c r="K68" i="13"/>
  <c r="O68" i="13"/>
  <c r="P68" i="13" s="1"/>
  <c r="K69" i="13"/>
  <c r="N69" i="13"/>
  <c r="O69" i="13"/>
  <c r="P69" i="13" s="1"/>
  <c r="I91" i="13"/>
  <c r="N67" i="13" l="1"/>
  <c r="K124" i="12"/>
  <c r="K125" i="12"/>
  <c r="K126" i="12"/>
  <c r="K123" i="12"/>
  <c r="G97" i="14"/>
  <c r="G95" i="14"/>
  <c r="G82" i="14"/>
  <c r="G79" i="14"/>
  <c r="G69" i="14"/>
  <c r="G62" i="14"/>
  <c r="G60" i="14"/>
  <c r="G51" i="14"/>
  <c r="G46" i="14"/>
  <c r="G34" i="14"/>
  <c r="G31" i="14"/>
  <c r="G26" i="14"/>
  <c r="G23" i="14"/>
  <c r="G19" i="14"/>
  <c r="G15" i="14"/>
  <c r="G12" i="14"/>
  <c r="G7" i="14"/>
  <c r="O91" i="13"/>
  <c r="Q91" i="13" s="1"/>
  <c r="O90" i="13"/>
  <c r="P90" i="13" s="1"/>
  <c r="I90" i="13"/>
  <c r="I89" i="13" s="1"/>
  <c r="G89" i="13"/>
  <c r="O88" i="13"/>
  <c r="P88" i="13" s="1"/>
  <c r="K88" i="13"/>
  <c r="O87" i="13"/>
  <c r="P87" i="13" s="1"/>
  <c r="K87" i="13"/>
  <c r="O86" i="13"/>
  <c r="P86" i="13" s="1"/>
  <c r="K86" i="13"/>
  <c r="O85" i="13"/>
  <c r="P85" i="13" s="1"/>
  <c r="K85" i="13"/>
  <c r="O84" i="13"/>
  <c r="P84" i="13" s="1"/>
  <c r="N84" i="13"/>
  <c r="K84" i="13"/>
  <c r="O82" i="13"/>
  <c r="P82" i="13" s="1"/>
  <c r="N82" i="13"/>
  <c r="O81" i="13"/>
  <c r="P81" i="13" s="1"/>
  <c r="N81" i="13"/>
  <c r="K81" i="13"/>
  <c r="O80" i="13"/>
  <c r="P80" i="13" s="1"/>
  <c r="N80" i="13"/>
  <c r="K80" i="13"/>
  <c r="O79" i="13"/>
  <c r="Q79" i="13" s="1"/>
  <c r="N79" i="13"/>
  <c r="K79" i="13"/>
  <c r="O78" i="13"/>
  <c r="P78" i="13" s="1"/>
  <c r="N78" i="13"/>
  <c r="K78" i="13"/>
  <c r="O76" i="13"/>
  <c r="Q76" i="13" s="1"/>
  <c r="K76" i="13"/>
  <c r="G75" i="13"/>
  <c r="O74" i="13"/>
  <c r="P74" i="13" s="1"/>
  <c r="K74" i="13"/>
  <c r="O73" i="13"/>
  <c r="P73" i="13" s="1"/>
  <c r="K73" i="13"/>
  <c r="O72" i="13"/>
  <c r="P72" i="13" s="1"/>
  <c r="K72" i="13"/>
  <c r="O71" i="13"/>
  <c r="P71" i="13" s="1"/>
  <c r="K71" i="13"/>
  <c r="I70" i="13"/>
  <c r="G70" i="13"/>
  <c r="O66" i="13"/>
  <c r="P66" i="13" s="1"/>
  <c r="N66" i="13"/>
  <c r="K66" i="13"/>
  <c r="O65" i="13"/>
  <c r="P65" i="13" s="1"/>
  <c r="K65" i="13"/>
  <c r="O64" i="13"/>
  <c r="P64" i="13" s="1"/>
  <c r="K64" i="13"/>
  <c r="O63" i="13"/>
  <c r="P63" i="13" s="1"/>
  <c r="N63" i="13"/>
  <c r="K63" i="13"/>
  <c r="O62" i="13"/>
  <c r="P62" i="13" s="1"/>
  <c r="N62" i="13"/>
  <c r="K62" i="13"/>
  <c r="P61" i="13"/>
  <c r="I61" i="13"/>
  <c r="G61" i="13"/>
  <c r="O60" i="13"/>
  <c r="P60" i="13" s="1"/>
  <c r="K60" i="13"/>
  <c r="O59" i="13"/>
  <c r="P59" i="13" s="1"/>
  <c r="N59" i="13"/>
  <c r="K59" i="13"/>
  <c r="O58" i="13"/>
  <c r="P58" i="13" s="1"/>
  <c r="N58" i="13"/>
  <c r="K58" i="13"/>
  <c r="O57" i="13"/>
  <c r="P57" i="13" s="1"/>
  <c r="K57" i="13"/>
  <c r="O56" i="13"/>
  <c r="P56" i="13" s="1"/>
  <c r="N56" i="13"/>
  <c r="K56" i="13"/>
  <c r="O55" i="13"/>
  <c r="P55" i="13" s="1"/>
  <c r="N55" i="13"/>
  <c r="K55" i="13"/>
  <c r="I54" i="13"/>
  <c r="G54" i="13"/>
  <c r="O53" i="13"/>
  <c r="P53" i="13" s="1"/>
  <c r="N53" i="13"/>
  <c r="K53" i="13"/>
  <c r="I52" i="13"/>
  <c r="G52" i="13"/>
  <c r="O51" i="13"/>
  <c r="P51" i="13" s="1"/>
  <c r="N51" i="13"/>
  <c r="K51" i="13"/>
  <c r="O50" i="13"/>
  <c r="P50" i="13" s="1"/>
  <c r="N50" i="13"/>
  <c r="K50" i="13"/>
  <c r="O49" i="13"/>
  <c r="P49" i="13" s="1"/>
  <c r="N49" i="13"/>
  <c r="K49" i="13"/>
  <c r="O48" i="13"/>
  <c r="P48" i="13" s="1"/>
  <c r="N48" i="13"/>
  <c r="K48" i="13"/>
  <c r="O47" i="13"/>
  <c r="P47" i="13" s="1"/>
  <c r="N47" i="13"/>
  <c r="K47" i="13"/>
  <c r="O46" i="13"/>
  <c r="P46" i="13" s="1"/>
  <c r="N46" i="13"/>
  <c r="K46" i="13"/>
  <c r="O45" i="13"/>
  <c r="P45" i="13" s="1"/>
  <c r="N45" i="13"/>
  <c r="K45" i="13"/>
  <c r="O44" i="13"/>
  <c r="P44" i="13" s="1"/>
  <c r="N44" i="13"/>
  <c r="K44" i="13"/>
  <c r="I43" i="13"/>
  <c r="G43" i="13"/>
  <c r="O42" i="13"/>
  <c r="P42" i="13" s="1"/>
  <c r="N42" i="13"/>
  <c r="K42" i="13"/>
  <c r="R41" i="13"/>
  <c r="O41" i="13"/>
  <c r="P41" i="13" s="1"/>
  <c r="N41" i="13"/>
  <c r="K41" i="13"/>
  <c r="O40" i="13"/>
  <c r="P40" i="13" s="1"/>
  <c r="K40" i="13"/>
  <c r="O39" i="13"/>
  <c r="P39" i="13" s="1"/>
  <c r="N39" i="13"/>
  <c r="K39" i="13"/>
  <c r="O38" i="13"/>
  <c r="P38" i="13" s="1"/>
  <c r="K38" i="13"/>
  <c r="O37" i="13"/>
  <c r="P37" i="13" s="1"/>
  <c r="N37" i="13"/>
  <c r="K37" i="13"/>
  <c r="R36" i="13"/>
  <c r="O36" i="13"/>
  <c r="P36" i="13" s="1"/>
  <c r="N36" i="13"/>
  <c r="K36" i="13"/>
  <c r="I35" i="13"/>
  <c r="G35" i="13"/>
  <c r="O34" i="13"/>
  <c r="Q34" i="13" s="1"/>
  <c r="N34" i="13"/>
  <c r="K34" i="13"/>
  <c r="O33" i="13"/>
  <c r="P33" i="13" s="1"/>
  <c r="N33" i="13"/>
  <c r="K33" i="13"/>
  <c r="O32" i="13"/>
  <c r="P32" i="13" s="1"/>
  <c r="N32" i="13"/>
  <c r="K32" i="13"/>
  <c r="O31" i="13"/>
  <c r="P31" i="13" s="1"/>
  <c r="N31" i="13"/>
  <c r="K31" i="13"/>
  <c r="O30" i="13"/>
  <c r="N30" i="13"/>
  <c r="O29" i="13"/>
  <c r="P29" i="13" s="1"/>
  <c r="N29" i="13"/>
  <c r="K29" i="13"/>
  <c r="I28" i="13"/>
  <c r="G28" i="13"/>
  <c r="O27" i="13"/>
  <c r="P27" i="13" s="1"/>
  <c r="N27" i="13"/>
  <c r="K27" i="13"/>
  <c r="I26" i="13"/>
  <c r="G26" i="13"/>
  <c r="O25" i="13"/>
  <c r="P25" i="13" s="1"/>
  <c r="K25" i="13"/>
  <c r="O24" i="13"/>
  <c r="P24" i="13" s="1"/>
  <c r="K24" i="13"/>
  <c r="O23" i="13"/>
  <c r="P23" i="13" s="1"/>
  <c r="K23" i="13"/>
  <c r="I23" i="13"/>
  <c r="I20" i="13" s="1"/>
  <c r="O22" i="13"/>
  <c r="P22" i="13" s="1"/>
  <c r="K22" i="13"/>
  <c r="O21" i="13"/>
  <c r="P21" i="13" s="1"/>
  <c r="K21" i="13"/>
  <c r="G20" i="13"/>
  <c r="O18" i="13"/>
  <c r="P18" i="13" s="1"/>
  <c r="K18" i="13"/>
  <c r="I17" i="13"/>
  <c r="G17" i="13"/>
  <c r="O16" i="13"/>
  <c r="P16" i="13" s="1"/>
  <c r="N16" i="13"/>
  <c r="K16" i="13"/>
  <c r="O15" i="13"/>
  <c r="P15" i="13" s="1"/>
  <c r="K15" i="13"/>
  <c r="I14" i="13"/>
  <c r="G14" i="13"/>
  <c r="O13" i="13"/>
  <c r="Q13" i="13" s="1"/>
  <c r="K13" i="13"/>
  <c r="I12" i="13"/>
  <c r="G12" i="13"/>
  <c r="O11" i="13"/>
  <c r="P11" i="13" s="1"/>
  <c r="N11" i="13"/>
  <c r="K11" i="13"/>
  <c r="I10" i="13"/>
  <c r="G10" i="13"/>
  <c r="O9" i="13"/>
  <c r="P9" i="13" s="1"/>
  <c r="N9" i="13"/>
  <c r="K9" i="13"/>
  <c r="O8" i="13"/>
  <c r="P8" i="13" s="1"/>
  <c r="I8" i="13"/>
  <c r="I7" i="13" s="1"/>
  <c r="G7" i="13"/>
  <c r="O6" i="13"/>
  <c r="K8" i="12"/>
  <c r="K9" i="12"/>
  <c r="K10" i="12"/>
  <c r="K12" i="12"/>
  <c r="K14" i="12"/>
  <c r="K16" i="12"/>
  <c r="K17" i="12"/>
  <c r="K19" i="12"/>
  <c r="K20" i="12"/>
  <c r="K21" i="12"/>
  <c r="K22" i="12"/>
  <c r="K24" i="12"/>
  <c r="K25" i="12"/>
  <c r="K28" i="12"/>
  <c r="K29" i="12"/>
  <c r="K30" i="12"/>
  <c r="K31" i="12"/>
  <c r="K32" i="12"/>
  <c r="K33" i="12"/>
  <c r="K34" i="12"/>
  <c r="K35" i="12"/>
  <c r="K37" i="12"/>
  <c r="K39" i="12"/>
  <c r="K40" i="12"/>
  <c r="K41" i="12"/>
  <c r="K42" i="12"/>
  <c r="K43" i="12"/>
  <c r="K44" i="12"/>
  <c r="K45" i="12"/>
  <c r="K46" i="12"/>
  <c r="K47" i="12"/>
  <c r="K49" i="12"/>
  <c r="K50" i="12"/>
  <c r="K51" i="12"/>
  <c r="K53" i="12"/>
  <c r="K54" i="12"/>
  <c r="K55" i="12"/>
  <c r="K56" i="12"/>
  <c r="K57" i="12"/>
  <c r="K58" i="12"/>
  <c r="K60" i="12"/>
  <c r="K61" i="12"/>
  <c r="K62" i="12"/>
  <c r="K63" i="12"/>
  <c r="K64" i="12"/>
  <c r="K65" i="12"/>
  <c r="K67" i="12"/>
  <c r="K68" i="12"/>
  <c r="K70" i="12"/>
  <c r="K71" i="12"/>
  <c r="K73" i="12"/>
  <c r="K74" i="12"/>
  <c r="K75" i="12"/>
  <c r="K76" i="12"/>
  <c r="K78" i="12"/>
  <c r="K79" i="12"/>
  <c r="K80" i="12"/>
  <c r="K81" i="12"/>
  <c r="K82" i="12"/>
  <c r="K83" i="12"/>
  <c r="K84" i="12"/>
  <c r="K85" i="12"/>
  <c r="K86" i="12"/>
  <c r="K87" i="12"/>
  <c r="K89" i="12"/>
  <c r="K90" i="12"/>
  <c r="K92" i="12"/>
  <c r="K93" i="12"/>
  <c r="K94" i="12"/>
  <c r="K95" i="12"/>
  <c r="K96" i="12"/>
  <c r="K97" i="12"/>
  <c r="K98" i="12"/>
  <c r="K99" i="12"/>
  <c r="K100" i="12"/>
  <c r="K101" i="12"/>
  <c r="K103" i="12"/>
  <c r="K104" i="12"/>
  <c r="K105" i="12"/>
  <c r="K106" i="12"/>
  <c r="K107" i="12"/>
  <c r="K108" i="12"/>
  <c r="K109" i="12"/>
  <c r="K110" i="12"/>
  <c r="K111" i="12"/>
  <c r="K113" i="12"/>
  <c r="K114" i="12"/>
  <c r="K116" i="12"/>
  <c r="K117" i="12"/>
  <c r="K118" i="12"/>
  <c r="K120" i="12"/>
  <c r="K121" i="12"/>
  <c r="I122" i="12"/>
  <c r="G122" i="12"/>
  <c r="I119" i="12"/>
  <c r="G119" i="12"/>
  <c r="I115" i="12"/>
  <c r="G115" i="12"/>
  <c r="I112" i="12"/>
  <c r="G112" i="12"/>
  <c r="I102" i="12"/>
  <c r="G102" i="12"/>
  <c r="I88" i="12"/>
  <c r="G88" i="12"/>
  <c r="I77" i="12"/>
  <c r="G77" i="12"/>
  <c r="I72" i="12"/>
  <c r="G72" i="12"/>
  <c r="I69" i="12"/>
  <c r="G69" i="12"/>
  <c r="I66" i="12"/>
  <c r="G66" i="12"/>
  <c r="I59" i="12"/>
  <c r="G59" i="12"/>
  <c r="I52" i="12"/>
  <c r="G52" i="12"/>
  <c r="I48" i="12"/>
  <c r="G48" i="12"/>
  <c r="I38" i="12"/>
  <c r="G38" i="12"/>
  <c r="I36" i="12"/>
  <c r="G36" i="12"/>
  <c r="I31" i="12"/>
  <c r="I29" i="12"/>
  <c r="G27" i="12"/>
  <c r="I23" i="12"/>
  <c r="G23" i="12"/>
  <c r="I18" i="12"/>
  <c r="G18" i="12"/>
  <c r="I15" i="12"/>
  <c r="G15" i="12"/>
  <c r="I13" i="12"/>
  <c r="G13" i="12"/>
  <c r="I11" i="12"/>
  <c r="G11" i="12"/>
  <c r="I9" i="12"/>
  <c r="I8" i="12"/>
  <c r="G7" i="12"/>
  <c r="G6" i="12" s="1"/>
  <c r="G26" i="12" l="1"/>
  <c r="G6" i="14"/>
  <c r="G25" i="14"/>
  <c r="I6" i="13"/>
  <c r="G6" i="13"/>
  <c r="T8" i="13" s="1"/>
  <c r="G19" i="13"/>
  <c r="I19" i="13"/>
  <c r="N23" i="13"/>
  <c r="N52" i="13"/>
  <c r="N12" i="13"/>
  <c r="N17" i="13"/>
  <c r="N28" i="13"/>
  <c r="N43" i="13"/>
  <c r="P13" i="13"/>
  <c r="N14" i="13"/>
  <c r="N54" i="13"/>
  <c r="N75" i="13"/>
  <c r="N61" i="13"/>
  <c r="Q40" i="13"/>
  <c r="N10" i="13"/>
  <c r="Q38" i="13"/>
  <c r="Q81" i="13"/>
  <c r="N26" i="13"/>
  <c r="N35" i="13"/>
  <c r="Q37" i="13"/>
  <c r="Q82" i="13"/>
  <c r="G5" i="12"/>
  <c r="I7" i="12"/>
  <c r="I6" i="12" s="1"/>
  <c r="N7" i="13"/>
  <c r="N20" i="13"/>
  <c r="P34" i="13"/>
  <c r="Q36" i="13"/>
  <c r="P76" i="13"/>
  <c r="Q78" i="13"/>
  <c r="N8" i="13"/>
  <c r="Q51" i="13"/>
  <c r="P79" i="13"/>
  <c r="P91" i="13"/>
  <c r="I27" i="12"/>
  <c r="I26" i="12" s="1"/>
  <c r="D26" i="6"/>
  <c r="G31" i="6"/>
  <c r="G30" i="6" s="1"/>
  <c r="E30" i="6"/>
  <c r="D30" i="6"/>
  <c r="G29" i="6"/>
  <c r="G26" i="6" s="1"/>
  <c r="F26" i="6"/>
  <c r="E26" i="6"/>
  <c r="G25" i="6"/>
  <c r="G24" i="6"/>
  <c r="G23" i="6"/>
  <c r="G22" i="6"/>
  <c r="G21" i="6"/>
  <c r="F20" i="6"/>
  <c r="E20" i="6"/>
  <c r="D20" i="6"/>
  <c r="G19" i="6"/>
  <c r="G18" i="6"/>
  <c r="G17" i="6"/>
  <c r="F16" i="6"/>
  <c r="E16" i="6"/>
  <c r="D16" i="6"/>
  <c r="G14" i="6"/>
  <c r="F14" i="6"/>
  <c r="E14" i="6"/>
  <c r="D14" i="6"/>
  <c r="G13" i="6"/>
  <c r="G12" i="6"/>
  <c r="F11" i="6"/>
  <c r="E11" i="6"/>
  <c r="D11" i="6"/>
  <c r="G10" i="6"/>
  <c r="G9" i="6"/>
  <c r="G8" i="6"/>
  <c r="F7" i="6"/>
  <c r="E7" i="6"/>
  <c r="D7" i="6"/>
  <c r="G151" i="6"/>
  <c r="F151" i="6"/>
  <c r="E151" i="6"/>
  <c r="D151" i="6"/>
  <c r="F149" i="6"/>
  <c r="E149" i="6"/>
  <c r="D149" i="6"/>
  <c r="G148" i="6"/>
  <c r="F147" i="6"/>
  <c r="G147" i="6" s="1"/>
  <c r="G146" i="6"/>
  <c r="G145" i="6"/>
  <c r="E144" i="6"/>
  <c r="D144" i="6"/>
  <c r="E141" i="6"/>
  <c r="D141" i="6"/>
  <c r="E138" i="6"/>
  <c r="D138" i="6"/>
  <c r="G137" i="6"/>
  <c r="G134" i="6" s="1"/>
  <c r="E134" i="6"/>
  <c r="D134" i="6"/>
  <c r="G131" i="6"/>
  <c r="F131" i="6"/>
  <c r="E131" i="6"/>
  <c r="D131" i="6"/>
  <c r="F130" i="6"/>
  <c r="G130" i="6" s="1"/>
  <c r="F129" i="6"/>
  <c r="E128" i="6"/>
  <c r="D128" i="6"/>
  <c r="F127" i="6"/>
  <c r="F126" i="6"/>
  <c r="F125" i="6"/>
  <c r="G124" i="6"/>
  <c r="G123" i="6"/>
  <c r="F122" i="6"/>
  <c r="G119" i="6"/>
  <c r="F118" i="6"/>
  <c r="F117" i="6"/>
  <c r="F116" i="6"/>
  <c r="E113" i="6"/>
  <c r="D113" i="6"/>
  <c r="G110" i="6"/>
  <c r="G108" i="6"/>
  <c r="G107" i="6"/>
  <c r="G106" i="6"/>
  <c r="F105" i="6"/>
  <c r="E105" i="6"/>
  <c r="D105" i="6"/>
  <c r="K103" i="6"/>
  <c r="G103" i="6"/>
  <c r="G102" i="6"/>
  <c r="F102" i="6"/>
  <c r="E102" i="6"/>
  <c r="D102" i="6"/>
  <c r="F101" i="6"/>
  <c r="F99" i="6" s="1"/>
  <c r="G99" i="6"/>
  <c r="E99" i="6"/>
  <c r="D99" i="6"/>
  <c r="G98" i="6"/>
  <c r="G97" i="6"/>
  <c r="G96" i="6"/>
  <c r="G95" i="6"/>
  <c r="G94" i="6"/>
  <c r="G93" i="6"/>
  <c r="F92" i="6"/>
  <c r="E92" i="6"/>
  <c r="D92" i="6"/>
  <c r="G91" i="6"/>
  <c r="G90" i="6"/>
  <c r="G89" i="6"/>
  <c r="G88" i="6"/>
  <c r="G87" i="6"/>
  <c r="G86" i="6"/>
  <c r="G85" i="6"/>
  <c r="G84" i="6"/>
  <c r="G83" i="6"/>
  <c r="G82" i="6"/>
  <c r="G81" i="6"/>
  <c r="F80" i="6"/>
  <c r="E80" i="6"/>
  <c r="D80" i="6"/>
  <c r="G79" i="6"/>
  <c r="G78" i="6"/>
  <c r="G77" i="6"/>
  <c r="G76" i="6"/>
  <c r="G75" i="6"/>
  <c r="G74" i="6"/>
  <c r="G73" i="6"/>
  <c r="G72" i="6"/>
  <c r="G71" i="6"/>
  <c r="G70" i="6"/>
  <c r="G69" i="6"/>
  <c r="F68" i="6"/>
  <c r="G68" i="6" s="1"/>
  <c r="E67" i="6"/>
  <c r="D67" i="6"/>
  <c r="F66" i="6"/>
  <c r="F65" i="6" s="1"/>
  <c r="G65" i="6"/>
  <c r="E65" i="6"/>
  <c r="D65" i="6"/>
  <c r="G64" i="6"/>
  <c r="G63" i="6"/>
  <c r="G62" i="6"/>
  <c r="K61" i="6"/>
  <c r="L60" i="6"/>
  <c r="K60" i="6"/>
  <c r="F60" i="6"/>
  <c r="G60" i="6" s="1"/>
  <c r="F59" i="6"/>
  <c r="G59" i="6" s="1"/>
  <c r="E58" i="6"/>
  <c r="D58" i="6"/>
  <c r="G57" i="6"/>
  <c r="G56" i="6"/>
  <c r="G55" i="6"/>
  <c r="G54" i="6"/>
  <c r="G53" i="6"/>
  <c r="E52" i="6"/>
  <c r="D52" i="6"/>
  <c r="G51" i="6"/>
  <c r="G43" i="6" s="1"/>
  <c r="F50" i="6"/>
  <c r="F46" i="6"/>
  <c r="F45" i="6"/>
  <c r="F44" i="6"/>
  <c r="E43" i="6"/>
  <c r="D43" i="6"/>
  <c r="G42" i="6"/>
  <c r="G41" i="6"/>
  <c r="E40" i="6"/>
  <c r="D40" i="6"/>
  <c r="F39" i="6"/>
  <c r="F38" i="6"/>
  <c r="F37" i="6"/>
  <c r="F36" i="6"/>
  <c r="F35" i="6"/>
  <c r="F34" i="6"/>
  <c r="M33" i="6"/>
  <c r="E33" i="6"/>
  <c r="D33" i="6"/>
  <c r="G5" i="13" l="1"/>
  <c r="O5" i="13" s="1"/>
  <c r="O19" i="13"/>
  <c r="G5" i="14"/>
  <c r="I5" i="13"/>
  <c r="R6" i="13"/>
  <c r="Q6" i="13"/>
  <c r="P6" i="13" s="1"/>
  <c r="N19" i="13"/>
  <c r="P19" i="13" s="1"/>
  <c r="Q20" i="13"/>
  <c r="N6" i="13"/>
  <c r="G16" i="6"/>
  <c r="D6" i="6"/>
  <c r="G20" i="6"/>
  <c r="F144" i="6"/>
  <c r="F43" i="6"/>
  <c r="G7" i="6"/>
  <c r="G6" i="6" s="1"/>
  <c r="E32" i="6"/>
  <c r="E5" i="6" s="1"/>
  <c r="G40" i="6"/>
  <c r="F113" i="6"/>
  <c r="G144" i="6"/>
  <c r="G67" i="6"/>
  <c r="G105" i="6"/>
  <c r="G92" i="6"/>
  <c r="F128" i="6"/>
  <c r="E6" i="6"/>
  <c r="F33" i="6"/>
  <c r="F67" i="6"/>
  <c r="G113" i="6"/>
  <c r="G11" i="6"/>
  <c r="F6" i="6"/>
  <c r="G52" i="6"/>
  <c r="G80" i="6"/>
  <c r="D32" i="6"/>
  <c r="D5" i="6" s="1"/>
  <c r="M60" i="6"/>
  <c r="G129" i="6"/>
  <c r="I5" i="12" l="1"/>
  <c r="E33" i="4" l="1"/>
  <c r="I66" i="4" l="1"/>
  <c r="I34" i="4"/>
  <c r="I35" i="4"/>
  <c r="I36" i="4"/>
  <c r="I37" i="4"/>
  <c r="I38" i="4"/>
  <c r="I39" i="4"/>
  <c r="I41" i="4"/>
  <c r="I42" i="4"/>
  <c r="I44" i="4"/>
  <c r="I45" i="4"/>
  <c r="I46" i="4"/>
  <c r="I47" i="4"/>
  <c r="I48" i="4"/>
  <c r="I49" i="4"/>
  <c r="I50" i="4"/>
  <c r="I51" i="4"/>
  <c r="I53" i="4"/>
  <c r="I54" i="4"/>
  <c r="I55" i="4"/>
  <c r="I56" i="4"/>
  <c r="I57" i="4"/>
  <c r="I59" i="4"/>
  <c r="I60" i="4"/>
  <c r="I61" i="4"/>
  <c r="I62" i="4"/>
  <c r="I63" i="4"/>
  <c r="I64" i="4"/>
  <c r="I68" i="4"/>
  <c r="I69" i="4"/>
  <c r="I70" i="4"/>
  <c r="I71" i="4"/>
  <c r="I72" i="4"/>
  <c r="I73" i="4"/>
  <c r="I74" i="4"/>
  <c r="I75" i="4"/>
  <c r="I76" i="4"/>
  <c r="I77" i="4"/>
  <c r="I78" i="4"/>
  <c r="I79" i="4"/>
  <c r="I81" i="4"/>
  <c r="I82" i="4"/>
  <c r="I83" i="4"/>
  <c r="I84" i="4"/>
  <c r="I85" i="4"/>
  <c r="I86" i="4"/>
  <c r="I87" i="4"/>
  <c r="I88" i="4"/>
  <c r="I89" i="4"/>
  <c r="I90" i="4"/>
  <c r="I91" i="4"/>
  <c r="I93" i="4"/>
  <c r="I94" i="4"/>
  <c r="I95" i="4"/>
  <c r="I96" i="4"/>
  <c r="I97" i="4"/>
  <c r="I98" i="4"/>
  <c r="I100" i="4"/>
  <c r="I101" i="4"/>
  <c r="I103" i="4"/>
  <c r="I104" i="4"/>
  <c r="I106" i="4"/>
  <c r="I107" i="4"/>
  <c r="I108" i="4"/>
  <c r="I109" i="4"/>
  <c r="I110" i="4"/>
  <c r="I111" i="4"/>
  <c r="I112" i="4"/>
  <c r="I114" i="4"/>
  <c r="I115" i="4"/>
  <c r="I116" i="4"/>
  <c r="I117" i="4"/>
  <c r="I118" i="4"/>
  <c r="I119" i="4"/>
  <c r="I120" i="4"/>
  <c r="I121" i="4"/>
  <c r="I122" i="4"/>
  <c r="I123" i="4"/>
  <c r="I124" i="4"/>
  <c r="I125" i="4"/>
  <c r="I126" i="4"/>
  <c r="I127" i="4"/>
  <c r="I129" i="4"/>
  <c r="I130" i="4"/>
  <c r="I132" i="4"/>
  <c r="I133" i="4"/>
  <c r="I135" i="4"/>
  <c r="I136" i="4"/>
  <c r="I137" i="4"/>
  <c r="I139" i="4"/>
  <c r="I140" i="4"/>
  <c r="I142" i="4"/>
  <c r="I143" i="4"/>
  <c r="I145" i="4"/>
  <c r="I146" i="4"/>
  <c r="I147" i="4"/>
  <c r="I148" i="4"/>
  <c r="I150" i="4"/>
  <c r="I152" i="4"/>
  <c r="I153" i="4"/>
  <c r="I8" i="4"/>
  <c r="I9" i="4"/>
  <c r="I10" i="4"/>
  <c r="I12" i="4"/>
  <c r="I13" i="4"/>
  <c r="I15" i="4"/>
  <c r="I17" i="4"/>
  <c r="I18" i="4"/>
  <c r="I19" i="4"/>
  <c r="I21" i="4"/>
  <c r="I22" i="4"/>
  <c r="I23" i="4"/>
  <c r="I24" i="4"/>
  <c r="I25" i="4"/>
  <c r="I27" i="4"/>
  <c r="I28" i="4"/>
  <c r="I29" i="4"/>
  <c r="I31" i="4"/>
  <c r="G43" i="4"/>
  <c r="G33" i="4"/>
  <c r="G92" i="4"/>
  <c r="E92" i="4"/>
  <c r="I92" i="4" l="1"/>
  <c r="I33" i="4" l="1"/>
  <c r="G30" i="4" l="1"/>
  <c r="G58" i="4" l="1"/>
  <c r="E43" i="4"/>
  <c r="I43" i="4" s="1"/>
  <c r="G40" i="4"/>
  <c r="G52" i="4"/>
  <c r="G65" i="4"/>
  <c r="E67" i="4"/>
  <c r="G67" i="4"/>
  <c r="G80" i="4"/>
  <c r="E80" i="4"/>
  <c r="G99" i="4"/>
  <c r="E99" i="4"/>
  <c r="G102" i="4"/>
  <c r="G105" i="4"/>
  <c r="E105" i="4"/>
  <c r="G113" i="4"/>
  <c r="E113" i="4"/>
  <c r="E128" i="4"/>
  <c r="G128" i="4"/>
  <c r="G131" i="4"/>
  <c r="G134" i="4"/>
  <c r="E134" i="4"/>
  <c r="G138" i="4"/>
  <c r="G141" i="4"/>
  <c r="G144" i="4"/>
  <c r="E144" i="4"/>
  <c r="G149" i="4"/>
  <c r="E149" i="4"/>
  <c r="G151" i="4"/>
  <c r="G14" i="4"/>
  <c r="E14" i="4"/>
  <c r="G7" i="4"/>
  <c r="E7" i="4"/>
  <c r="G11" i="4"/>
  <c r="G16" i="4"/>
  <c r="E16" i="4"/>
  <c r="G20" i="4"/>
  <c r="E20" i="4"/>
  <c r="G26" i="4"/>
  <c r="E26" i="4"/>
  <c r="E30" i="4"/>
  <c r="I30" i="4" s="1"/>
  <c r="E11" i="4"/>
  <c r="E151" i="4"/>
  <c r="E141" i="4"/>
  <c r="E138" i="4"/>
  <c r="E131" i="4"/>
  <c r="E102" i="4"/>
  <c r="E65" i="4"/>
  <c r="E58" i="4"/>
  <c r="E52" i="4"/>
  <c r="E40" i="4"/>
  <c r="I138" i="4" l="1"/>
  <c r="I128" i="4"/>
  <c r="I67" i="4"/>
  <c r="I144" i="4"/>
  <c r="I80" i="4"/>
  <c r="I131" i="4"/>
  <c r="I40" i="4"/>
  <c r="I105" i="4"/>
  <c r="I14" i="4"/>
  <c r="E32" i="4"/>
  <c r="I16" i="4"/>
  <c r="I149" i="4"/>
  <c r="I99" i="4"/>
  <c r="I11" i="4"/>
  <c r="I58" i="4"/>
  <c r="I113" i="4"/>
  <c r="I26" i="4"/>
  <c r="E6" i="4"/>
  <c r="G6" i="4"/>
  <c r="I7" i="4"/>
  <c r="I141" i="4"/>
  <c r="I65" i="4"/>
  <c r="I20" i="4"/>
  <c r="I151" i="4"/>
  <c r="I134" i="4"/>
  <c r="G32" i="4"/>
  <c r="I102" i="4"/>
  <c r="I52" i="4"/>
  <c r="E5" i="4" l="1"/>
  <c r="I6" i="4"/>
  <c r="G5" i="4"/>
  <c r="I32" i="4"/>
  <c r="I5" i="4" l="1"/>
  <c r="F58" i="6" l="1"/>
  <c r="K13" i="6" s="1"/>
  <c r="F32" i="6"/>
  <c r="L36" i="6" s="1"/>
  <c r="L37" i="6" s="1"/>
  <c r="G61" i="6"/>
  <c r="G58" i="6" s="1"/>
  <c r="G32" i="6" s="1"/>
  <c r="G5" i="6" s="1"/>
  <c r="F5" i="6" l="1"/>
</calcChain>
</file>

<file path=xl/comments1.xml><?xml version="1.0" encoding="utf-8"?>
<comments xmlns="http://schemas.openxmlformats.org/spreadsheetml/2006/main">
  <authors>
    <author>HELLO</author>
  </authors>
  <commentList>
    <comment ref="F61" authorId="0" shapeId="0">
      <text>
        <r>
          <rPr>
            <b/>
            <sz val="9"/>
            <color indexed="81"/>
            <rFont val="Tahoma"/>
            <family val="2"/>
          </rPr>
          <t>HELLO:</t>
        </r>
        <r>
          <rPr>
            <sz val="9"/>
            <color indexed="81"/>
            <rFont val="Tahoma"/>
            <family val="2"/>
          </rPr>
          <t xml:space="preserve">
BS Tà Nung mới hoàn trả </t>
        </r>
      </text>
    </comment>
    <comment ref="F62" authorId="0" shapeId="0">
      <text>
        <r>
          <rPr>
            <b/>
            <sz val="9"/>
            <color indexed="81"/>
            <rFont val="Tahoma"/>
            <family val="2"/>
          </rPr>
          <t>HELLO:</t>
        </r>
        <r>
          <rPr>
            <sz val="9"/>
            <color indexed="81"/>
            <rFont val="Tahoma"/>
            <family val="2"/>
          </rPr>
          <t xml:space="preserve">
BS Tà Nung mới hoàn trả</t>
        </r>
      </text>
    </comment>
  </commentList>
</comments>
</file>

<file path=xl/sharedStrings.xml><?xml version="1.0" encoding="utf-8"?>
<sst xmlns="http://schemas.openxmlformats.org/spreadsheetml/2006/main" count="1624" uniqueCount="501">
  <si>
    <t>STT</t>
  </si>
  <si>
    <t>Thông ba lá</t>
  </si>
  <si>
    <t>Hạt Kiểm lâm Bảo Lộc</t>
  </si>
  <si>
    <t>Ban QLRPH SêRêPôk</t>
  </si>
  <si>
    <t>Ban QLRPH Đam B'ri</t>
  </si>
  <si>
    <t>Ban QLRPH Phi Liêng</t>
  </si>
  <si>
    <t>Ban QLRPH ĐN Đa Nhim</t>
  </si>
  <si>
    <t>Ban QLRPH Tà Nung</t>
  </si>
  <si>
    <t>Ban QLRPH Đại Ninh</t>
  </si>
  <si>
    <t>Ban QLRPH Tà Năng</t>
  </si>
  <si>
    <t>Công ty TNHH MTV LN Đơn Dương</t>
  </si>
  <si>
    <t>Vườn Quốc Gia Cát Tiên</t>
  </si>
  <si>
    <t>Sao đen</t>
  </si>
  <si>
    <t>Ban QLR Lâm Viên</t>
  </si>
  <si>
    <t>2.1</t>
  </si>
  <si>
    <t>2.2</t>
  </si>
  <si>
    <t>Vườn Quốc gia Bidoup - Núi Bà</t>
  </si>
  <si>
    <t>Keo tai tượng</t>
  </si>
  <si>
    <t>Kết quả đơn vị nghiệm thu</t>
  </si>
  <si>
    <t>Ghi chú</t>
  </si>
  <si>
    <t>Diện tích (ha)</t>
  </si>
  <si>
    <t>Mật độ (cây/ha)</t>
  </si>
  <si>
    <t>c</t>
  </si>
  <si>
    <t>h</t>
  </si>
  <si>
    <t>Có 0,2 ha không có cây</t>
  </si>
  <si>
    <t>i</t>
  </si>
  <si>
    <t>a</t>
  </si>
  <si>
    <t>d</t>
  </si>
  <si>
    <t>b</t>
  </si>
  <si>
    <t>145A</t>
  </si>
  <si>
    <t>3b</t>
  </si>
  <si>
    <t>9b</t>
  </si>
  <si>
    <t>a1</t>
  </si>
  <si>
    <t>a2</t>
  </si>
  <si>
    <t>b2.1</t>
  </si>
  <si>
    <t>a3.1</t>
  </si>
  <si>
    <t>b3.2</t>
  </si>
  <si>
    <t>c1</t>
  </si>
  <si>
    <t>b3</t>
  </si>
  <si>
    <t>156B</t>
  </si>
  <si>
    <t>144B</t>
  </si>
  <si>
    <t>d1</t>
  </si>
  <si>
    <t>e.1</t>
  </si>
  <si>
    <t>b.1</t>
  </si>
  <si>
    <t>b2.3</t>
  </si>
  <si>
    <t>157B</t>
  </si>
  <si>
    <t>g</t>
  </si>
  <si>
    <t>f</t>
  </si>
  <si>
    <t>162B</t>
  </si>
  <si>
    <t>160A</t>
  </si>
  <si>
    <t>159A</t>
  </si>
  <si>
    <t>227B</t>
  </si>
  <si>
    <t>0,44 ha trồng cà phê</t>
  </si>
  <si>
    <t>148B</t>
  </si>
  <si>
    <t>148A</t>
  </si>
  <si>
    <t>243A</t>
  </si>
  <si>
    <t>p1</t>
  </si>
  <si>
    <t>h1</t>
  </si>
  <si>
    <t>Trừ 0,58ha không có cây</t>
  </si>
  <si>
    <t>Trừ 0,17ha bị trồng cà phê</t>
  </si>
  <si>
    <t>c2</t>
  </si>
  <si>
    <t>Trừ 0,79ha không có cây</t>
  </si>
  <si>
    <t>d2</t>
  </si>
  <si>
    <t>Trừ 0,35ha không có cây</t>
  </si>
  <si>
    <t>Trừ 0,15ha không có cây</t>
  </si>
  <si>
    <t>Trừ 0,10ha không có cây</t>
  </si>
  <si>
    <t>b1</t>
  </si>
  <si>
    <t>Trừ 1,63ha không có cây</t>
  </si>
  <si>
    <t>e</t>
  </si>
  <si>
    <t>71B</t>
  </si>
  <si>
    <t xml:space="preserve">  </t>
  </si>
  <si>
    <t>325A</t>
  </si>
  <si>
    <t>g1</t>
  </si>
  <si>
    <t>g2</t>
  </si>
  <si>
    <t>347B</t>
  </si>
  <si>
    <t>b7</t>
  </si>
  <si>
    <t>Ban QLR Tân Thượng</t>
  </si>
  <si>
    <t xml:space="preserve">Ghi chú </t>
  </si>
  <si>
    <t xml:space="preserve">TK </t>
  </si>
  <si>
    <t xml:space="preserve">Kh </t>
  </si>
  <si>
    <t xml:space="preserve">Lô </t>
  </si>
  <si>
    <t xml:space="preserve">Diện tích (ha) </t>
  </si>
  <si>
    <t xml:space="preserve">Mật độ (cây/ha) </t>
  </si>
  <si>
    <t>361A</t>
  </si>
  <si>
    <t>277A</t>
  </si>
  <si>
    <t>352A</t>
  </si>
  <si>
    <t>267C</t>
  </si>
  <si>
    <t>277B</t>
  </si>
  <si>
    <t>a3</t>
  </si>
  <si>
    <t>a4</t>
  </si>
  <si>
    <t>có khoảng 0,14 ha canh tác cây điều</t>
  </si>
  <si>
    <t>509B</t>
  </si>
  <si>
    <t>Ban QL khu du lịch quốc gia Hồ Tuyền Lâm</t>
  </si>
  <si>
    <t>Viện KHLN Nam Trung Bộ và Tây Nguyên</t>
  </si>
  <si>
    <t>Ban QLRPH D'ran</t>
  </si>
  <si>
    <t>Ban QLRPH Lâm Hà</t>
  </si>
  <si>
    <t>Công ty TNHH MTV LN Tam Hiệp</t>
  </si>
  <si>
    <t>Công ty TNHH MTV LN Lộc Bắc</t>
  </si>
  <si>
    <t>Công ty TNHH MTV LN Bảo Lâm</t>
  </si>
  <si>
    <t>Công ty TNHH MTV LN Đạ Huoai</t>
  </si>
  <si>
    <t>Đơn vị chủ đầu tư/ Thẩm định; Phê duyệt</t>
  </si>
  <si>
    <t>Loài cây</t>
  </si>
  <si>
    <t xml:space="preserve">272/BC-SNN ngày 05/9/2014; 127/QĐ-KHĐT ngày 10/9/2014 </t>
  </si>
  <si>
    <t>165/BC-SNN ngày 03/6/2015; 48/QĐ-KHĐT ngày 05/6/2015; 
2175/SNN-LN ngày 30/10/2015 (Hoán đổi hiện trường TRTT)</t>
  </si>
  <si>
    <t>197/BC-SNN ngày 03/6/2015; 60/QĐ-KHĐT ngày 05/6/2015; 
2175/SNN-LN ngày 30/10/2015 (Hoán đổi hiện trường TRTT)</t>
  </si>
  <si>
    <t>Năm trồng</t>
  </si>
  <si>
    <t>Văn bản số 1780/SNN-KL ngày 13/9/2017 của Sở NN&amp;PTNT về việc ý kiến đối với diện tích rừng trồng thay thế năm 2016 không được nghiệm thu của Vườn quốc gia Bidoup - Núi Bà</t>
  </si>
  <si>
    <t xml:space="preserve">567/TĐ-SNN ngày 11/4/2019; 263/QĐ-SNN ngày 11/4/2019 </t>
  </si>
  <si>
    <t xml:space="preserve">221/BC-SNN ngày 06/7/2016; 1548/QĐ-UBND ngày 13/7/2016 </t>
  </si>
  <si>
    <t>70/BC-SNN ngày 24/3/2015; 63/QĐ-KHĐT ngày 02/7/2015 
184/SNN-LN (Điều chỉnh ranh giới, diện tích các vị trí (lô) TRTT)</t>
  </si>
  <si>
    <t>122/BC-SNN ngày 12/5/2015; 39/QĐ-KHĐT ngày 18/5/2015</t>
  </si>
  <si>
    <t>1,900-2,000</t>
  </si>
  <si>
    <t>1,164-1,688</t>
  </si>
  <si>
    <t>1,900-2,010</t>
  </si>
  <si>
    <t>258/BC-SNN ngày 14/8/2015; 82/QĐ-KHĐT ngày 20/8/2015</t>
  </si>
  <si>
    <t>1,900-2,020</t>
  </si>
  <si>
    <t>283/BC-SNN ngày 28/8/2015; 86/QĐ-KHĐT ngày 04/9/2015</t>
  </si>
  <si>
    <t>1,890-2,040</t>
  </si>
  <si>
    <t>231/BC-SNN ngày 13/7/2016; 1615/QĐ-UBND ngày 21/7/2016</t>
  </si>
  <si>
    <t>1,880-2,080</t>
  </si>
  <si>
    <t xml:space="preserve">1534/TĐ-SNN ngày 08/8/2017; 521/QĐ-SNN ngày 08/8/2017 </t>
  </si>
  <si>
    <t>1,992-2,130</t>
  </si>
  <si>
    <t>2084/TĐ-SNN ngày 16/11/2018; 623/QĐ-SNN ngày 16/11/2018</t>
  </si>
  <si>
    <t>2,059-2,127</t>
  </si>
  <si>
    <t xml:space="preserve">1410/TĐ-SNN ngày 14/8/2018; 437/QĐ-SNN ngày 14/8/2018 </t>
  </si>
  <si>
    <t>Chưa nghiệm thu hoàn thành</t>
  </si>
  <si>
    <t>987/TĐ-SNN ngày 24/6/2019; 416/QĐ-SNN ngày 24/6/2019</t>
  </si>
  <si>
    <t>1,700-2,147</t>
  </si>
  <si>
    <t xml:space="preserve">120/BC-SNN ngày 12/5/2015; 66/QĐ-KHĐT ngày 17/7/2015 điều chỉnh QĐ 36/QĐ-KHĐT ngày 18/5/2015 </t>
  </si>
  <si>
    <t>1,909-2,042</t>
  </si>
  <si>
    <t xml:space="preserve">169/BC-SNN ngày 12/5/2015; 66/QĐ-KHĐT ngày 17/7/2015 điều chỉnh QĐ 54/QĐ-KHĐT ngày 15/6/2015 </t>
  </si>
  <si>
    <t>1,909-1,998</t>
  </si>
  <si>
    <t>222/BC-SNN ngày 06/7/2016; 1550/QĐ-UBND ngày 13/7/2016</t>
  </si>
  <si>
    <t>1,887-2,042</t>
  </si>
  <si>
    <t>1552/TĐ-SNN ngày 10/8/2017; 529/QĐ-SNN ngày 10/8/2017</t>
  </si>
  <si>
    <t>1,909-1,954</t>
  </si>
  <si>
    <t xml:space="preserve">2080/TĐ-SNN ngày 16/11/2018; 619/QĐ-SNN ngày 16/11/2018 </t>
  </si>
  <si>
    <t>220/BC-SNN ngày 09/7/2015; 65/QĐ-KHĐT ngày 14/7/2015</t>
  </si>
  <si>
    <t>193/BC-SNN ngày 23/6/2016; 1427/QĐ-UBND ngày 01/7/2016</t>
  </si>
  <si>
    <t>1,850-1,900</t>
  </si>
  <si>
    <t>194/BC-SNN ngày 23/6/2016; 1426/QĐ-UBND ngày 01/7/2016</t>
  </si>
  <si>
    <t>1499/TĐ-SNN ngày 03/8/2017; 508/QĐ-SNN ngày 03/8/2017</t>
  </si>
  <si>
    <t>1,900-1,950</t>
  </si>
  <si>
    <t>2081/TĐ-SNN ngày 16/11/2018; 620/QĐ-SNN ngày 16/11/2018</t>
  </si>
  <si>
    <t>1,950-2,000</t>
  </si>
  <si>
    <t>641/TĐ-SNN ngày 25/4/2019; 383/QĐ-SNN ngày 25/4/2019</t>
  </si>
  <si>
    <t>1,940-1,970</t>
  </si>
  <si>
    <t>194/BC-SNN ngày 22/6/2015; Vb số 704/KHĐT-KTN Đính chính QĐ 62/QĐ-KHĐT ngày 29/6/2015.</t>
  </si>
  <si>
    <t>56/BC-SNN ngày 14/3/2014; 38/QĐ-KHĐT ngày 26/3/2014</t>
  </si>
  <si>
    <t>1,911-1,978</t>
  </si>
  <si>
    <t>90/BC-SNN ngày 10/4/2015; 33/QĐ-KHĐT ngày 15/5/2015</t>
  </si>
  <si>
    <t>180/BC-SNN ngày 15/6/2015; 55/QĐ-KHĐT ngày 17/6/2015</t>
  </si>
  <si>
    <t>257/BC-SNN ngày 14/8/2015; 80/QĐ-KHĐT ngày 20/8/2015</t>
  </si>
  <si>
    <t>259/BC-SNN ngày 14/8/2015; 81/QĐ-KHĐT ngày 20/8/2015</t>
  </si>
  <si>
    <t>185/BC-SNN ngày 17/6/2015; 57/QĐ-KHĐT ngày 18/6/2015</t>
  </si>
  <si>
    <t>250/BC-SNN ngày 11/8/2015; 79/QĐ-KHĐT ngày 14/8/2015</t>
  </si>
  <si>
    <t>212/BC-SNN ngày 04/6/2016; 1549/QĐ-UBND ngày 13/7/2016</t>
  </si>
  <si>
    <t>1,880-1,931</t>
  </si>
  <si>
    <t>214/BC-SNN ngày 04/7/2016; 1518/QĐ-UBND ngày 12/7/2016</t>
  </si>
  <si>
    <t>1,880-1,932</t>
  </si>
  <si>
    <t>84/BC-KL ngày 06/7/2017; 3237/QĐ-UBND ngày 07/7/2017</t>
  </si>
  <si>
    <t>1747/TĐ-SNN ngày 08/9/2017; 608/QĐ-SNN ngày 08/9/2017</t>
  </si>
  <si>
    <t>1970/TĐ-SNN ngày 31/10/2018; 590/QĐ-SNN ngày 31/10/2018</t>
  </si>
  <si>
    <t>1,930-1,950</t>
  </si>
  <si>
    <t xml:space="preserve">195/BC-SNN ngày 22/6/2015; 67/QĐ-KHĐT ngày 17/7/2015 điều chỉnh, bổ sung QĐ 26/QĐ-KHĐT ngày 13/3/2015 </t>
  </si>
  <si>
    <t>1,900-1,990</t>
  </si>
  <si>
    <t>121/BC-SNN ngày 12/5/2015; 37/QĐ-KHĐT ngày 18/5/2015</t>
  </si>
  <si>
    <t>1,900-1,970</t>
  </si>
  <si>
    <t>166/BC-SNN ngày 03/6/2015; 47/QĐ-KHĐT ngày 05/6/2015</t>
  </si>
  <si>
    <t>1,900-1,920</t>
  </si>
  <si>
    <t>248/BC-SNN ngày 21/7/2016; 1670/QĐ-UBND ngày 02/8/2016</t>
  </si>
  <si>
    <t>1,940-2,000</t>
  </si>
  <si>
    <t>170/BC-SNN ngày 01/8/2016; 1779/QĐ-UBND ngày 10/8/2016</t>
  </si>
  <si>
    <t>1,915-2,060</t>
  </si>
  <si>
    <t>1498/TĐ-SNN ngày 03/8/2017; 635/QĐ-SNN ngày 22/9/2017</t>
  </si>
  <si>
    <t>1787/TĐ-SNN ngày 15/9/2017; 621/QĐ-SNN ngày 15/9/2017</t>
  </si>
  <si>
    <t>1,900-1,980</t>
  </si>
  <si>
    <t>1788/TĐ-SNN ngày 15/9/2017; 622/QĐ-SNN ngày 15/9/2017</t>
  </si>
  <si>
    <t>2082/TĐ-SNN ngày 16/11/2018; 621/QĐ-SNN ngày 16/11/2018</t>
  </si>
  <si>
    <t>1971/TĐ-SNN ngày 31/10/2018; 591/QĐ-SNN ngày 31/10/2018</t>
  </si>
  <si>
    <t>1,920-2,013</t>
  </si>
  <si>
    <t>951/TĐ-SNN ngày 11/6/2019; 382/QĐ-SNN ngày 11/6/2019</t>
  </si>
  <si>
    <t>55/BC-SNN ngày 14/3/2014; 40/QĐ-KHĐT ngày 26/3/2014; 
1379/SNN-LN ngày 09/7/2014 (điều chỉnh vị trí)</t>
  </si>
  <si>
    <t>1,890-1,920</t>
  </si>
  <si>
    <t xml:space="preserve">196/BC-SNN ngày 22/6/2015; 68/QĐ-KHĐT ngày 17/7/2015 điều chỉnh, bổ sung QĐ 25/QĐ-KHĐT ngày 13/3/2015 </t>
  </si>
  <si>
    <t>1,890-1,960</t>
  </si>
  <si>
    <t xml:space="preserve">279/BC-SNN ngày 25/8/2015; 48/QĐ-KHĐT ngày 28/8/2015 </t>
  </si>
  <si>
    <t>1,900-1,930</t>
  </si>
  <si>
    <t>171/BC-SNN ngày 01/8/2016; 1778/QĐ-UBND ngày 10/8/2016</t>
  </si>
  <si>
    <t>1,920-2,040</t>
  </si>
  <si>
    <t xml:space="preserve">1968/TĐ-SNN ngày 31/10/2018; 588/QĐ-SNN ngày 31/10/2018 </t>
  </si>
  <si>
    <t>2,000-2,100</t>
  </si>
  <si>
    <t xml:space="preserve">237/BC-SNN ngày 29/7/2015; 74/QĐ-KHĐT ngày 04/8/2015 </t>
  </si>
  <si>
    <t>1489/TĐ-SNN ngày 02/8/2017; 505/QĐ-SNN ngày 02/8/2017</t>
  </si>
  <si>
    <t xml:space="preserve">1491/TĐ-SNN, ngày 02/8/2017; 507/QĐ-SNN ngày 02/8/2017 </t>
  </si>
  <si>
    <t>1,809-1,920</t>
  </si>
  <si>
    <t xml:space="preserve"> 2083/TĐ-SNN, ngày 16/11/2018; 622/QĐ-SNN ngày 16/11/2018</t>
  </si>
  <si>
    <t>155/BC-SNN ngày 01/6/2015; 44/QĐ-KHĐT ngày 05/6/2015</t>
  </si>
  <si>
    <t>1,890-1,990</t>
  </si>
  <si>
    <t>210/BC-SNN ngày 30/6/2015; 64/QĐ-KHĐT ngày 02/7/2015</t>
  </si>
  <si>
    <t>1,890-2,100</t>
  </si>
  <si>
    <t>213/BC-SNN ngày 04/7/2016; 1547/QĐ-UBND ngày 10/8/2016</t>
  </si>
  <si>
    <t>2,060-2,080</t>
  </si>
  <si>
    <t>168/BC-SNN ngày 01/8/2016; 1777/QĐ-UBND ngày 10/8/2016</t>
  </si>
  <si>
    <t>2,030-2,100</t>
  </si>
  <si>
    <t>288/BC-HKL ngày 06/7/2017; 1377/QĐ-UBND ngày 10/7/2017</t>
  </si>
  <si>
    <t>2,010-2,150</t>
  </si>
  <si>
    <t>2085/TĐ-SNN ngày 16/11/2018; 624/QĐ-SNN ngày 16/11/2018</t>
  </si>
  <si>
    <t>1,720-2,160</t>
  </si>
  <si>
    <t>1967/TĐ-SNN ngày 31/10/2018; 587/QĐ-SNN ngày 31/10/2018</t>
  </si>
  <si>
    <t>68/BC-SNN ngày 24/3/2014; 47/QĐ-KHĐT ngày 23/4/2014</t>
  </si>
  <si>
    <t>260/BC-SNN ngày 29/8/2014; 113/QĐ-KHĐT ngày 03/9/2014</t>
  </si>
  <si>
    <t xml:space="preserve">89/BC-SNN ngày 09/4/2015; 35/QĐ-KHĐT ngày 15/5/2015 </t>
  </si>
  <si>
    <t>186/BC-SNN ngày 17/6/2015; 58/QĐ-KHĐT ngày 18/6/2015</t>
  </si>
  <si>
    <t>242/BC-SNN ngày 05/8/2015; 75/QĐ-KHĐT ngày 10/8/2015</t>
  </si>
  <si>
    <t>1258/QĐ-SNN ngày 17/11/2014; 297/SNN-KL ngày 01/3/2018; 2619/QĐ-UBND ngày 21/12/2018</t>
  </si>
  <si>
    <t>1,950-2,100</t>
  </si>
  <si>
    <t>157/BC-SNN ngày 02/6/2015; số 43/QĐ-KHĐT ngày 05/6/2015</t>
  </si>
  <si>
    <t>164/BC-SNN ngày 03/06/2015; 50/QĐ-KHĐT ngày 05/6/2015</t>
  </si>
  <si>
    <t>1,900-2,100</t>
  </si>
  <si>
    <t>169/BC-SNN ngày 01/8/2016; 1776/QĐ-UBND ngày 10/08/2016</t>
  </si>
  <si>
    <t>1,850-2,000</t>
  </si>
  <si>
    <t>249/BC-SNN ngày 20/7/2016; 1671/QĐ-UBND ngày 06/08/2016</t>
  </si>
  <si>
    <t>1,900-2,050</t>
  </si>
  <si>
    <t>292/BC-HKL ngày 10/7/2017; 1401/QĐ-UBND ngày 14/07/2017</t>
  </si>
  <si>
    <t>1,890-2,150</t>
  </si>
  <si>
    <t>290/BC-HKL ngày 10/7/2017; 1402/QĐ-UBND ngày 14/07/2017</t>
  </si>
  <si>
    <t>2078/TĐ-SNN ngày 16/11/2018; 617/QĐ-SNN ngày 16/11/2018</t>
  </si>
  <si>
    <t>2079/TĐ-SNN ngày 16/11/2018; 618/QĐ-SNN ngày 16/11/2018</t>
  </si>
  <si>
    <t>1,860-2,000</t>
  </si>
  <si>
    <t>205/BC-SNN ngày 25/6/2015; 61/QĐ-KHĐT ngày 29/6/2015</t>
  </si>
  <si>
    <t>1,800-2,100</t>
  </si>
  <si>
    <t>1482/TĐ-SNN ngày 02/8/2017; 500/QĐ-SNN ngày 02/8/2017</t>
  </si>
  <si>
    <t>1,725-2,000</t>
  </si>
  <si>
    <t>85/BC-SNN ngày 31/3/2014; 45/QĐ-KHĐT ngày 08/4/2014</t>
  </si>
  <si>
    <t>1,810-1,850</t>
  </si>
  <si>
    <t>154/BC-SNN ngày 01/6/2015; 42/QĐ-KHĐT ngày 05/6/2015</t>
  </si>
  <si>
    <t>1,800-1,850</t>
  </si>
  <si>
    <t>266/BC-SNN ngày 29/8/2014; 115/QĐ-KHĐT ngày 04/9/2014</t>
  </si>
  <si>
    <t>1,800-2,200</t>
  </si>
  <si>
    <t xml:space="preserve">93/BC-SNN ngày 15/4/2015; 34/QĐ-KHĐT ngày 15/5/2015 </t>
  </si>
  <si>
    <t>62/BC-SNN ngày 19/3/2015; 38/QĐ-KHĐT ngày 18/5/2015</t>
  </si>
  <si>
    <t>2,020-2,200</t>
  </si>
  <si>
    <t>3016/QĐ-UBND ngày 20/12/2018; 1003/QĐ-UBND ngày 07/5/2019</t>
  </si>
  <si>
    <t>1526/QĐ-UBND ngày 20/6/2019; 2084/QĐ-UBND ngày 25/9/2019</t>
  </si>
  <si>
    <t>91/BC-SNN ngày 03/4/2014; 46/QĐ-KHĐT ngày 14/4/2014</t>
  </si>
  <si>
    <t>Dầu Rái + Keo Tai tượng</t>
  </si>
  <si>
    <t>556 + 1,666</t>
  </si>
  <si>
    <t>438-540</t>
  </si>
  <si>
    <t>113/BC-SNN ngày 06/5/2015; 32/QĐ-KHĐT ngày 15/5/2015</t>
  </si>
  <si>
    <t>557 + 1,666</t>
  </si>
  <si>
    <t>480-550</t>
  </si>
  <si>
    <t>67/BC-SNN ngày 24/3/2014; 39/QĐ-KHĐT ngày 26/3/2014</t>
  </si>
  <si>
    <t>263/BC-SNN ngày 29/8/2014; 117/QĐ-KHĐT ngày 04/9/2014</t>
  </si>
  <si>
    <t>159/BC-SNN ngày 02/6/2015; 45/QĐ-KHĐT ngày 05/6/2015</t>
  </si>
  <si>
    <t>1,960-2,027</t>
  </si>
  <si>
    <t>158/BC-SNN ngày 02/6/2015; 49/QĐ-KHĐT ngày 05/6/2015</t>
  </si>
  <si>
    <t>1,960-2,100</t>
  </si>
  <si>
    <t xml:space="preserve">223/BC-SNN ngày 13/7/2015; 69/QĐ-SNN ngày 17/7/2015; 2342/SNN-LN ngày 23/11/2015 (điều chỉnh ranh giới hiện trường) </t>
  </si>
  <si>
    <t>833 + 833</t>
  </si>
  <si>
    <t>500-800</t>
  </si>
  <si>
    <t>1445/TĐ-SNN ngày 31/7/2017; 493/QĐ-SNN ngày 31/7/2017</t>
  </si>
  <si>
    <t>354-363</t>
  </si>
  <si>
    <t>2077/TĐ-SNN ngày 16/11/2018; 616/QĐ-SNN ngày 16/11/2018</t>
  </si>
  <si>
    <t>350-367</t>
  </si>
  <si>
    <t>Đã nghiệm thu hoàn thành năm 2023</t>
  </si>
  <si>
    <t>Đã nghiệm thu hoàn thành năm 2020</t>
  </si>
  <si>
    <t>Đã nghiệm thu hoàn thành năm 2017</t>
  </si>
  <si>
    <t>Đã nghiệm thu hoàn thành năm 2018</t>
  </si>
  <si>
    <t>Đã nghiệm thu hoàn thành năm 2019</t>
  </si>
  <si>
    <t>Đã nghiệm thu hoàn thành năm 2021</t>
  </si>
  <si>
    <t>Đã nghiệm thu hoàn thành năm 2022</t>
  </si>
  <si>
    <t>Đã nghiệm thu hoàn thành 2020</t>
  </si>
  <si>
    <t>Đã nghiệm thu hoàn thành 2021</t>
  </si>
  <si>
    <t>Đã nghiệm thu hoàn thành 2022</t>
  </si>
  <si>
    <t>183/BC-SNN ngày 16/6/2016; 1375/QĐ-UBND ngày 28/6/2016 
100/SNN-KL ngày 19/01/2017 (điều chỉnh vị trí, diện tích ranh giới)</t>
  </si>
  <si>
    <t>24/TĐ-SNN ngày 08/01/2020; 07/QĐ-SNN ngày 08/01/2020</t>
  </si>
  <si>
    <t>766/TĐ-SNN ngày 26/5/2021; 206/QĐ-SNN ngày 26/5/2021</t>
  </si>
  <si>
    <t xml:space="preserve">1177/TĐ-SNN ngày 31/5/2022; 162/QĐ-SNN ngày 31/5/2022 </t>
  </si>
  <si>
    <t>1087/TĐ-SNN ngày 27/7/2020; 384/QĐ-SNN ngày 27/7/2020</t>
  </si>
  <si>
    <t>1,980-2,000</t>
  </si>
  <si>
    <t>2621/SNN-KH ngày 07/11/2022; 2194/QĐ-UBND ngày 22/11/2022</t>
  </si>
  <si>
    <t>2,020-2,080</t>
  </si>
  <si>
    <t xml:space="preserve">1178/TĐ-SNN ngày 31/5/2022; 163/QĐ-SNN ngày 31/5/2022 </t>
  </si>
  <si>
    <t>1,990-2,089</t>
  </si>
  <si>
    <t>1,980-2,010</t>
  </si>
  <si>
    <t>1288/TĐ-SNN ngày 28/7/2021; 336/QĐ-SNN ngày 28/7/2021</t>
  </si>
  <si>
    <t>2,020-2,060</t>
  </si>
  <si>
    <t>2620/TĐ-SNN ngày 07/11/2022; 2193/QĐ-UBND ngày 22/11/2022</t>
  </si>
  <si>
    <t>2,020-2,100</t>
  </si>
  <si>
    <t>23/TĐ-SNN ngày 08/01/2020; 06/QĐ-SNN ngày 08/01/2020</t>
  </si>
  <si>
    <t>634/TĐ-SNN ngày 04/5/2020; 201/QĐ-SNN ngày 04/5/2020</t>
  </si>
  <si>
    <t>2021/TĐ-SNN ngày 28/12/2020; 726/QĐ-SNN ngày 28/12/2020</t>
  </si>
  <si>
    <t>1180/TĐ-SNN ngày 31/5/2021; 165/QĐ-SNN ngày 31/5/2021</t>
  </si>
  <si>
    <t>2,080-2,111</t>
  </si>
  <si>
    <t xml:space="preserve">1179/TĐ-SNN ngày 31/5/2021; 164/QĐ-SNN ngày 31/5/2021 </t>
  </si>
  <si>
    <t xml:space="preserve">37/TĐ-SNN ngày 10/01/2020; 19/QĐ-SNN ngày 10/01/2020 </t>
  </si>
  <si>
    <t>1,880-2,200</t>
  </si>
  <si>
    <t xml:space="preserve">536/TĐ-SNN ngày 19/4/2021; 148/QĐ-SNN ngày 19/4/2021 </t>
  </si>
  <si>
    <t>1,950-2,220</t>
  </si>
  <si>
    <t xml:space="preserve">1168/TĐ-SNN ngày 31/5/2022; 153/QĐ-SNN ngày 31/5/2022 </t>
  </si>
  <si>
    <t>2,100-2,200</t>
  </si>
  <si>
    <t>1969/TĐ-SNN ngày 31/10/2018; 589/QĐ-SNN ngày 31/10/2018</t>
  </si>
  <si>
    <t>Có 0.04 ha không có cây</t>
  </si>
  <si>
    <t>Có 0.10 ha không có cây</t>
  </si>
  <si>
    <t>Có 0.42 ha không có cây</t>
  </si>
  <si>
    <t>Có 0.09 ha không có cây</t>
  </si>
  <si>
    <t>Có 0.18 ha không có cây</t>
  </si>
  <si>
    <t>Có 0.49 ha không có cây</t>
  </si>
  <si>
    <t>Có 0.24 ha không có cây</t>
  </si>
  <si>
    <t>Có 1,22 ha không có cây</t>
  </si>
  <si>
    <t>Có 0.31 ha không có cây</t>
  </si>
  <si>
    <t>Có 0.88 ha không có cây</t>
  </si>
  <si>
    <t>Có 0.19 ha không có cây</t>
  </si>
  <si>
    <t>Có 1.08 ha không có cây, diện tích còn lại mật độ không đạt</t>
  </si>
  <si>
    <t>Kinh phí tiếp nhận từ Quỹ (đồng)</t>
  </si>
  <si>
    <t>Kinh phí tạm ứng, thanh toán tại đơn vị (đồng)</t>
  </si>
  <si>
    <t>Kinh phí hoàn trả về Quỹ</t>
  </si>
  <si>
    <t>Kinh phí đã hoàn trả (đồng)</t>
  </si>
  <si>
    <t>Kinh phí chưa hoàn trả (đồng)</t>
  </si>
  <si>
    <t>Chưa lập hồ sơ quyết toán dự án hoàn thành</t>
  </si>
  <si>
    <t>k</t>
  </si>
  <si>
    <t>I</t>
  </si>
  <si>
    <t>Dự án Trồng rừng thay thế sau giai đoạn kiến thiết cơ bản</t>
  </si>
  <si>
    <t>II</t>
  </si>
  <si>
    <t>Dự án Trồng rừng thay thế trong giai đoạn kiến thiết cơ bản</t>
  </si>
  <si>
    <t xml:space="preserve"> Đã có tờ trình số 23 /TT-ĐN ngày 19/3/2020, tuy nhiên chưa được cơ quan có thẩm quyền phê duyệt quyết toán dự án hoàn thành</t>
  </si>
  <si>
    <t>Đã lập hồ sơ và có tờ trình số 8a/TTr-BQL, ngày 18/4/2023, tuy nhiên đến nay chưa được phê duyệt quyết toán dự án hoàn thành.</t>
  </si>
  <si>
    <t>Đã lập hồ sơ và có tờ trình số 8b/TTr-BQL, ngày 18/4/2023, tuy nhiên đến nay chưa được phê duyệt quyết toán dự án hoàn thành.</t>
  </si>
  <si>
    <t>Đang trong giai đoạn kiến thiết cơ bản</t>
  </si>
  <si>
    <t xml:space="preserve"> Đã quyết toán dự án hoàn thành tại Quyết định số số 2456/QĐ-UBND, ngày 23/12/2022 của UBND tỉnh Lâm Đồng</t>
  </si>
  <si>
    <t>Sở Tài chính đã có văn bản thẩm tra số 06/BC-STC, ngày 01/01/2022, tuy nhiên chưa được phê duyệt quyết toán dự án hoàn thành;</t>
  </si>
  <si>
    <t>Đã lập hồ sơ quyết toán tại tờ trình số 325/TTr-BQL ngày 30/12/2022, tuy nhiên chưa được cơ quan chức năng phê duyệt.</t>
  </si>
  <si>
    <t>Đã lập hồ sơ quyết toán tại tờ trình số 324/TTr-BQL ngày 30/12/2022, tuy nhiên chưa được cơ quan chức năng phê duyệt.</t>
  </si>
  <si>
    <t>1.1</t>
  </si>
  <si>
    <t>1.2</t>
  </si>
  <si>
    <t>1.3</t>
  </si>
  <si>
    <t xml:space="preserve">319/TĐ-SNN ngày 07/3/2019; 166/QĐ-SNN ngày 07/03/2019 </t>
  </si>
  <si>
    <t>Có 0,95 ha không có cây (0,5 ha đơn vị có báo cáo bị ngũ sắc xâm lấn)</t>
  </si>
  <si>
    <t>Có 0,18 ha bị san ủi, đơn vị có lập biên bản</t>
  </si>
  <si>
    <t>Có 0,04 ha bị san ủi, đơn vị có lập biên bản</t>
  </si>
  <si>
    <t>Có  0,13 ha không có cây</t>
  </si>
  <si>
    <t>Có  0,24 ha không có cây</t>
  </si>
  <si>
    <t xml:space="preserve">Có 900 m2 mới bị trồng cây cà phê </t>
  </si>
  <si>
    <t>Có 0,37ha  đã trồng cây cà phê và 0,39 m2 là đất trống</t>
  </si>
  <si>
    <t>0,55 ha cây có phẩm chất yếu mật độ khổng đảm bảo theo đúng quy định</t>
  </si>
  <si>
    <t>có 0,41 ha cây có phẩm chất yếu mật độ khổng đảm bảo theo đúng quy định</t>
  </si>
  <si>
    <t>Có 0,52 ha hiện trạng là đất trống</t>
  </si>
  <si>
    <t>Có 0,1 ha đã trồng cây cà phê</t>
  </si>
  <si>
    <t>Có 0,11 ha hiện trạng đã trồng cây cà phê</t>
  </si>
  <si>
    <t>Có 0,18 hiện trạng là đất trống</t>
  </si>
  <si>
    <t>Có 0,4 ha hiện trạng là đất trống</t>
  </si>
  <si>
    <t>Có 0,22 ha hiện trạng đã trồng cây cà phê</t>
  </si>
  <si>
    <t>có 600 m2 là đất trống</t>
  </si>
  <si>
    <t xml:space="preserve">Có 1,03 h hiện là đất trống;  </t>
  </si>
  <si>
    <t>Có 0,14 ha hiện là đất trống</t>
  </si>
  <si>
    <t>Có 0,64 ha bị nhổ và trồng cây cà phê</t>
  </si>
  <si>
    <t>Có 0,21 ha không có cây</t>
  </si>
  <si>
    <t>Có 0,36 ha không có cây</t>
  </si>
  <si>
    <t>Có 0,11 ha không có cây, đang trồng dặm</t>
  </si>
  <si>
    <t>Có 0,2 ha không có cây, đang trồng dặm</t>
  </si>
  <si>
    <t>Do lập địa nên phẩm chất cây kém</t>
  </si>
  <si>
    <t>Có 1,52 ha trong đó: có 0,41 ha hiện trạng rừng trồng cây Sao đen dưới tán có cây Cà phê và Sầu riêng, 0,09 ha hiện trạng canh tác cây Cà phê,  0,67 ha số cây Sao đen còn sống thấp không đảm bảo mật độ theo quy định, 0,22 ha canh tác cà phê, 0,13 ha hiện trạng rừng trồng Sao đen và canh tác cây điều</t>
  </si>
  <si>
    <t>Có 0,57 ha chưa tiến hành trồng rừng theo thiết kế tuy nhiên đơn vị đã hoàn thành nghiệm thu chăm sóc các năm</t>
  </si>
  <si>
    <t>Đã lập hồ sơ quyết toán dự án hoàn thành tại tờ trình số 15c/TT-BQL ngày 02/7/2021 đến ngày 28/3/2023 tiếp tục có tờ trình số 16/TT-BQL ngày 28/3/2023, tuy nhiên vẫn chưa được cơ quan chức năng phê duyệt</t>
  </si>
  <si>
    <t>Đã lập hồ sơ quyết toán dự án hoàn thành tại tờ trình số 25/TT-BQL ngày 27/4/2023, tuy nhiên chưa được cơ quan chức năng phê duyệt.</t>
  </si>
  <si>
    <t>Đã lập hồ sơ quyết toán dự án hoàn thành tại tờ trình số 24/TT-BQL ngày 27/4/2023, tuy nhiên chưa được cơ quan chức năng phê duyệt.</t>
  </si>
  <si>
    <t xml:space="preserve"> Đã có tờ trình số 24/TT-ĐN ngày 19/3/2020, tuy nhiên chưa được cơ quan có thẩm quyền phê duyệt quyết toán dự án hoàn thành</t>
  </si>
  <si>
    <t>Đã lập hồ sơ quyết toán dự án hoàn thành tại tờ trình số 15b/TT-BQL ngày 02/7/2021, tiếp tục có tờ trình số 21/TT-BQL ngày 28/3/2023, tuy nhiên vẫn chưa được cơ quan chức năng phê duyệt.</t>
  </si>
  <si>
    <t>Đã lập hồ sơ quyết toán dự án hoàn thành tại tờ trình số 15a/TT-BQL ngày 01/7/2021, tiếp tục có tờ trình số 15/TT-BQL ngày 28/3/2023, tuy nhiênvẫn chưa được cơ quan chức năng phê duyệt.</t>
  </si>
  <si>
    <t>Đã lập hồ sơ  quyết toán dự án hoàn thành và trình Sở Tài chính tỉnh Lâm Đồng tại Tờ trình số 34a/TTr-BQLR, ngày 25/02/2019 của Ban QLRPH Tà Năng, tuy nhiên Sở Tài chính không tiếp nhận.</t>
  </si>
  <si>
    <t>Đã được UBND huyện Đức Trọng phê duyệt tại Quyết định số 1515/QĐ-UBND, ngày 04/8/2021; Số kinh phí được phê duyệt quyết toán: 3.698.866.008 đồng;</t>
  </si>
  <si>
    <t>Đã được UBND tỉnh phê duyệt tại Quyết định số 2457/QĐ-UBND, ngày 23/12/2022; Số kinh phí được phê duyệt quyết toán: 791.341.938 đồng;</t>
  </si>
  <si>
    <t>Đã lập hồ sơ quyết toán dự án hoàn thành, tuy nhiên Sở Tài chính đã trả hồ sơ lại cho đơn vị tại Văn bản số 783/STC-ĐT, ngày 04/4/2023</t>
  </si>
  <si>
    <t>Đã phê duyệt quyết toán dự án hoàn thành tại QĐ số 2461/QĐ-UBND ngày 23/12/2022 của UBND tỉnh Lâm Đồng</t>
  </si>
  <si>
    <t>Đã phê duyệt quyết toán dự án hoàn thành tại QĐ số 2458/QĐ-UBND ngày 23/12/2022 của UBND tỉnh Lâm Đồng</t>
  </si>
  <si>
    <t>Đã phê duyệt quyết toán dự án hoàn thành tại QĐ số 1555/QĐ-UBND ngày 31/8/2022 của UBND tỉnh Lâm Đồng</t>
  </si>
  <si>
    <t>Đã phê duyệt quyết toán dự án hoàn thành tại QĐ số 1110/QĐ-UBND ngày 21/6/2022 của UBND tỉnh Lâm Đồng</t>
  </si>
  <si>
    <t>Đã được phê duyệt quyết toán dự án hoàn thành tại QĐ số 102/QĐ-STC ngày 17/09/2020</t>
  </si>
  <si>
    <t>Đã phê duyệt quyết toán dự án hoàn thành tại QĐ số 2559/QĐ-UBND ngày 14/10/2021</t>
  </si>
  <si>
    <t>Đã được phê duyệt quyết toán dự án hoàn thành tại QĐ số 26/QĐ-STC  ngày 08/04/2020</t>
  </si>
  <si>
    <t>Đã được phê duyệt quyết toán dự án hoàn thành tại QĐ số 27/QĐ-STC  ngày 08/04/2020</t>
  </si>
  <si>
    <t>Đã được phê duyệt quyết toán dự án hoàn thành tại QĐ số 124/QĐ-STC  ngày 17/11/2020</t>
  </si>
  <si>
    <t>Đã được phê duyệt quyết toán dự án hoàn thành tại QĐ số 95/QĐ-STC  ngày 28/8/2020</t>
  </si>
  <si>
    <t>Đã được phê duyệt quyết toán dự án hoàn thành tại QĐ số 94/QĐ-STC  ngày 28/8/2020</t>
  </si>
  <si>
    <t>Đã được phê duyệt quyết toán dự án hoàn thành tại QĐ số 45/QĐ-STC  ngày 14/4/2021</t>
  </si>
  <si>
    <t>Đã lập hồ sơ quyết toán dự án hoàn thành tại tờ trình số 15d/TT-BQL ngày 02/7/2021, tiếp tục có tờ trình số 17/TT-BQL ngày 28/3/2023, tuy nhiên Sở Tài chính đã trả hồ sơ quyết toán tại văn bản số 1334/STC-ĐT, ngày 29/5/2023</t>
  </si>
  <si>
    <t>Đã được UBND tỉnh phê duyệt tại QĐ số 507/QĐ-UBND, ngày 09/3/2021: Được quyết toán: 403.089.589 đồng;
+ Không được quyết toán: 1.116.135 đồng. Đơn vị đã nộp vào ngân sách Nhà nước thông qua Sở Tài chính tại Giấy nộp trả kinh phí số: 02 Năm NS 2021, ngày 22/4/2021</t>
  </si>
  <si>
    <t xml:space="preserve">Đã được UBND tỉnh phê duyệt tại QĐ số 507/QĐ-UBND, ngày 09/3/2021: Được quyết toán: 1.048.032.930 đồng;
+ Không được phê duyệt quyết toán: 2.901.952 đồng. Đơn vị đã nộp vào ngân sách Nhà nước thông qua Sở Tài chính tại Giấy nộp trả kinh phí số: 02 Năm NS 2021, ngày 22/4/2021. </t>
  </si>
  <si>
    <t>Đã lập hồ sơ quyết toán tại tờ trình số 14/TTr-Cty ngày 12/01/2022, tuy nhiên chưa được cơ quan chức năng phê duyệt.</t>
  </si>
  <si>
    <t>Đã lập hồ sơ quyết toán tại văn bản số 120/CV-Cty ngày 07/5/2022, tuy nhiên chưa được cơ quan chức năng phê duyệt.</t>
  </si>
  <si>
    <t>Đã lập hồ sơ quyết toán tại tờ trình Sở Tài chính 2 lần, tại Tờ trình số số 373/TTr-CTY ngày 29/12/2022 và Tờ trình số 196/TTr-CTY ngày 11/7/2023.  tuy nhiên chưa được cơ quan chức năng phê duyệt.</t>
  </si>
  <si>
    <t>Đã lập hồ sơ quyết toán tại tờ trình Sở Tài chính 2 lần, tại Tờ trình số số 374/TTr-CTY ngày 29/12/2022 và Tờ trình số 197/TTr-CTY ngày 11/7/2023.  tuy nhiên chưa được cơ quan chức năng phê duyệt.</t>
  </si>
  <si>
    <t>Chưa lập</t>
  </si>
  <si>
    <t>Đã lập</t>
  </si>
  <si>
    <t>Đã QTT</t>
  </si>
  <si>
    <t>Phê duyệt</t>
  </si>
  <si>
    <t>Thực hiện</t>
  </si>
  <si>
    <t>290/BC-HKL ngày 10/7/2017; 1402/QĐ-UBND ngày 14/07/2017; VB số 2552 UBND 27/12/2017 về điều chỉnh vị trí, ranh giới, diện tích</t>
  </si>
  <si>
    <t>479/TĐ-SNN ngày 06/4/2020; 155/QĐ-SNN ngày 06/4/2020</t>
  </si>
  <si>
    <t>Tổng cộng</t>
  </si>
  <si>
    <t>Tỷ lệ % diện tích thực hiên/ phê duyệt</t>
  </si>
  <si>
    <t>Đơn vị chủ đầu tư/  Văn bản Thẩm định; Phê duyệt và liên quan</t>
  </si>
  <si>
    <t>Dầu Rái/Sao đen + Keo Tai tượng</t>
  </si>
  <si>
    <t>Không còn cây để lập ôtc</t>
  </si>
  <si>
    <t>Thanh toán bù trừ</t>
  </si>
  <si>
    <t>Đã QT</t>
  </si>
  <si>
    <t>Đã Nthu HT</t>
  </si>
  <si>
    <t>Kết quả kiểm tra</t>
  </si>
  <si>
    <t>Biểu 01: Kết quả kiểm tra các hồ sơ dự án Trồng rừng thay thế từ năm 2014 - 2022</t>
  </si>
  <si>
    <t>% so với mật độ TK</t>
  </si>
  <si>
    <t>7.1</t>
  </si>
  <si>
    <t xml:space="preserve">Tổng DT ko còn rừng (ha) </t>
  </si>
  <si>
    <t xml:space="preserve">DT đất trống (ha) </t>
  </si>
  <si>
    <t>DT bị lấn chiếm (ha)</t>
  </si>
  <si>
    <t xml:space="preserve"> 0,31 ha hiện trạng canh tác cây Cà phê, 0,67 ha số cây Sao đen không còn để lập ôtc</t>
  </si>
  <si>
    <t>Không có cây, đang trồng dặm</t>
  </si>
  <si>
    <t>Có 1.08 ha không có cây</t>
  </si>
  <si>
    <t>Diện tích thực hiện(ha)</t>
  </si>
  <si>
    <t>Diện tích rút mẫu (ha)</t>
  </si>
  <si>
    <t>Diện tích bị lấn chiếm (ha)</t>
  </si>
  <si>
    <t>Diện tích không còn rừng (ha)</t>
  </si>
  <si>
    <t>Diện tích có mật độ không đạt (ha)</t>
  </si>
  <si>
    <t>Kết quả kiểm tra hiện trường</t>
  </si>
  <si>
    <t>Diện tích có mật độ đạt (ha)</t>
  </si>
  <si>
    <t>Biểu 02: Tổng hợp kết quả kiểm tra hiện trường các lô TRTT 2014-2022</t>
  </si>
  <si>
    <t>Biểu 2a: Chi tiết các lô rừng kiểm tra hiện trường đạt</t>
  </si>
  <si>
    <t>Biểu 2b: Chi tiết các lô rừng không đạt về mật độ</t>
  </si>
  <si>
    <t>3.1</t>
  </si>
  <si>
    <t>4.1</t>
  </si>
  <si>
    <t>4.2</t>
  </si>
  <si>
    <t>5.1</t>
  </si>
  <si>
    <t>5.2</t>
  </si>
  <si>
    <t>5.3</t>
  </si>
  <si>
    <t>6.1</t>
  </si>
  <si>
    <t>1.4</t>
  </si>
  <si>
    <t>3.2</t>
  </si>
  <si>
    <t>3.4</t>
  </si>
  <si>
    <t>3.3</t>
  </si>
  <si>
    <t>3.5</t>
  </si>
  <si>
    <t>3.6</t>
  </si>
  <si>
    <t>4.3</t>
  </si>
  <si>
    <t>5.4</t>
  </si>
  <si>
    <t>5.5</t>
  </si>
  <si>
    <t>5.6</t>
  </si>
  <si>
    <t>6.2</t>
  </si>
  <si>
    <t>6.3</t>
  </si>
  <si>
    <t>6.4</t>
  </si>
  <si>
    <t>6.5</t>
  </si>
  <si>
    <t>6.6</t>
  </si>
  <si>
    <t>7.2</t>
  </si>
  <si>
    <t>8.1</t>
  </si>
  <si>
    <t>8.2</t>
  </si>
  <si>
    <t>9.1</t>
  </si>
  <si>
    <t>9.2</t>
  </si>
  <si>
    <t>10.1</t>
  </si>
  <si>
    <t>10.2</t>
  </si>
  <si>
    <t>10.3</t>
  </si>
  <si>
    <t>10.4</t>
  </si>
  <si>
    <t>10.5</t>
  </si>
  <si>
    <t>10.6</t>
  </si>
  <si>
    <t>10.7</t>
  </si>
  <si>
    <t>11.1</t>
  </si>
  <si>
    <t>11.2</t>
  </si>
  <si>
    <t>11.3</t>
  </si>
  <si>
    <t>11.4</t>
  </si>
  <si>
    <t>11.5</t>
  </si>
  <si>
    <t>11.6</t>
  </si>
  <si>
    <t>11.7</t>
  </si>
  <si>
    <t>11.8</t>
  </si>
  <si>
    <t>11.9</t>
  </si>
  <si>
    <t>11.10</t>
  </si>
  <si>
    <t>12.1</t>
  </si>
  <si>
    <t>12.2</t>
  </si>
  <si>
    <t>13.1</t>
  </si>
  <si>
    <t>13.2</t>
  </si>
  <si>
    <t>14.1</t>
  </si>
  <si>
    <t>14.2</t>
  </si>
  <si>
    <t>14.3</t>
  </si>
  <si>
    <t>15.1</t>
  </si>
  <si>
    <t>16.1</t>
  </si>
  <si>
    <t>16.2</t>
  </si>
  <si>
    <t>4.4</t>
  </si>
  <si>
    <t>4.5</t>
  </si>
  <si>
    <t>7.3</t>
  </si>
  <si>
    <t>7.4</t>
  </si>
  <si>
    <t>7.5</t>
  </si>
  <si>
    <t>7.6</t>
  </si>
  <si>
    <t>8.3</t>
  </si>
  <si>
    <t>8.4</t>
  </si>
  <si>
    <t>Biểu 2c: Chi tiết các lô rừng có diện tích không còn rừng và bị lấn chiếm</t>
  </si>
  <si>
    <t>8.5</t>
  </si>
  <si>
    <t>8.6</t>
  </si>
  <si>
    <t>8.7</t>
  </si>
  <si>
    <t>8.8</t>
  </si>
  <si>
    <t>8.9</t>
  </si>
  <si>
    <t>10.8</t>
  </si>
  <si>
    <t>10.9</t>
  </si>
  <si>
    <r>
      <t xml:space="preserve">Đang trong giai đoạn kiến thiết cơ bản, </t>
    </r>
    <r>
      <rPr>
        <b/>
        <sz val="11"/>
        <rFont val="Times New Roman"/>
        <family val="1"/>
      </rPr>
      <t>đơn vị chưa rút được tiền tại KBNN.</t>
    </r>
  </si>
  <si>
    <t>Biểu 03: Kết quả kiểm tra việc tiếp nhận, tạm ứng thanh toán kinh phí TRTT từ năm 2014 - 2022</t>
  </si>
  <si>
    <t>(Kèm Văn bản số: 2278/SNN-KH ngày 18 tháng 9 năm 2023 của Sở Nông nghiệp và PTNT)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</si>
</sst>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 _₫_-;\-* #,##0.00\ _₫_-;_-* &quot;-&quot;??\ _₫_-;_-@_-"/>
    <numFmt numFmtId="165" formatCode="0.0"/>
    <numFmt numFmtId="166" formatCode="_(* #,##0.000_);_(* \(#,##0.000\);_(* &quot;-&quot;??_);_(@_)"/>
    <numFmt numFmtId="167" formatCode="0.00;[Red]0.00"/>
    <numFmt numFmtId="168" formatCode="0.0000;[Red]0.0000"/>
  </numFmts>
  <fonts count="16" x14ac:knownFonts="1">
    <font>
      <sz val="11"/>
      <color theme="1"/>
      <name val="Calibri"/>
      <family val="2"/>
      <charset val="163"/>
      <scheme val="minor"/>
    </font>
    <font>
      <sz val="11"/>
      <color theme="1"/>
      <name val="Calibri"/>
      <family val="2"/>
      <scheme val="minor"/>
    </font>
    <font>
      <b/>
      <sz val="11"/>
      <name val="Times New Roman"/>
      <family val="1"/>
    </font>
    <font>
      <sz val="11"/>
      <name val="Times New Roman"/>
      <family val="1"/>
    </font>
    <font>
      <sz val="11"/>
      <color indexed="8"/>
      <name val="Calibri"/>
      <family val="2"/>
      <charset val="163"/>
    </font>
    <font>
      <sz val="11"/>
      <color indexed="8"/>
      <name val="Calibri"/>
      <family val="2"/>
    </font>
    <font>
      <i/>
      <sz val="11"/>
      <name val="Times New Roman"/>
      <family val="1"/>
    </font>
    <font>
      <sz val="10"/>
      <color theme="1"/>
      <name val="Arial"/>
      <family val="2"/>
    </font>
    <font>
      <b/>
      <sz val="11"/>
      <color theme="1"/>
      <name val="Times New Roman"/>
      <family val="1"/>
    </font>
    <font>
      <sz val="11"/>
      <color theme="1"/>
      <name val="Times New Roman"/>
      <family val="1"/>
    </font>
    <font>
      <b/>
      <sz val="13"/>
      <name val="Times New Roman"/>
      <family val="1"/>
    </font>
    <font>
      <i/>
      <sz val="13"/>
      <name val="Times New Roman"/>
      <family val="1"/>
    </font>
    <font>
      <sz val="10"/>
      <name val="Times New Roman"/>
      <family val="1"/>
    </font>
    <font>
      <sz val="9"/>
      <color indexed="81"/>
      <name val="Tahoma"/>
      <family val="2"/>
    </font>
    <font>
      <b/>
      <sz val="9"/>
      <color indexed="81"/>
      <name val="Tahoma"/>
      <family val="2"/>
    </font>
    <font>
      <b/>
      <sz val="14"/>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4" fillId="0" borderId="0" applyFont="0" applyFill="0" applyBorder="0" applyAlignment="0" applyProtection="0"/>
    <xf numFmtId="0" fontId="1" fillId="0" borderId="0"/>
    <xf numFmtId="166" fontId="4" fillId="0" borderId="0" applyFont="0" applyFill="0" applyBorder="0" applyAlignment="0" applyProtection="0"/>
    <xf numFmtId="0" fontId="1" fillId="0" borderId="0"/>
    <xf numFmtId="164" fontId="5" fillId="0" borderId="0" applyFont="0" applyFill="0" applyBorder="0" applyAlignment="0" applyProtection="0"/>
    <xf numFmtId="0" fontId="7" fillId="0" borderId="0"/>
  </cellStyleXfs>
  <cellXfs count="219">
    <xf numFmtId="0" fontId="0" fillId="0" borderId="0" xfId="0"/>
    <xf numFmtId="0" fontId="3" fillId="0" borderId="1" xfId="0" applyFont="1" applyBorder="1" applyAlignment="1">
      <alignment horizontal="center" wrapText="1"/>
    </xf>
    <xf numFmtId="167" fontId="3" fillId="0" borderId="1" xfId="0" applyNumberFormat="1" applyFont="1" applyBorder="1" applyAlignment="1">
      <alignment horizontal="right" vertical="center"/>
    </xf>
    <xf numFmtId="0" fontId="3" fillId="0" borderId="1" xfId="0" applyFont="1" applyBorder="1" applyAlignment="1">
      <alignment horizontal="right" vertical="center"/>
    </xf>
    <xf numFmtId="2" fontId="3" fillId="0" borderId="1" xfId="0" applyNumberFormat="1" applyFont="1" applyBorder="1" applyAlignment="1">
      <alignment horizontal="right" vertical="center"/>
    </xf>
    <xf numFmtId="167" fontId="3" fillId="2" borderId="1" xfId="1" applyNumberFormat="1" applyFont="1" applyFill="1" applyBorder="1" applyAlignment="1">
      <alignment horizontal="right" vertical="center"/>
    </xf>
    <xf numFmtId="167" fontId="3" fillId="2" borderId="1" xfId="0" applyNumberFormat="1" applyFont="1" applyFill="1" applyBorder="1" applyAlignment="1">
      <alignment horizontal="right" vertical="center"/>
    </xf>
    <xf numFmtId="2" fontId="3" fillId="2" borderId="1" xfId="0" applyNumberFormat="1" applyFont="1" applyFill="1" applyBorder="1" applyAlignment="1">
      <alignment horizontal="right" vertical="center"/>
    </xf>
    <xf numFmtId="0" fontId="3" fillId="2" borderId="1" xfId="0" applyFont="1" applyFill="1" applyBorder="1" applyAlignment="1">
      <alignment horizontal="center" wrapText="1"/>
    </xf>
    <xf numFmtId="0" fontId="3" fillId="0" borderId="1" xfId="0" applyFont="1" applyBorder="1" applyAlignment="1">
      <alignment wrapText="1"/>
    </xf>
    <xf numFmtId="0" fontId="3" fillId="0" borderId="1" xfId="6" applyFont="1" applyBorder="1" applyAlignment="1">
      <alignment horizontal="center" vertical="center" wrapText="1"/>
    </xf>
    <xf numFmtId="167" fontId="3" fillId="0" borderId="1" xfId="0" applyNumberFormat="1" applyFont="1" applyBorder="1"/>
    <xf numFmtId="167" fontId="3" fillId="0" borderId="1" xfId="0" applyNumberFormat="1" applyFont="1" applyFill="1" applyBorder="1" applyAlignment="1">
      <alignment horizontal="right" vertical="center"/>
    </xf>
    <xf numFmtId="0" fontId="3" fillId="0" borderId="1" xfId="0" applyFont="1" applyFill="1" applyBorder="1" applyAlignment="1">
      <alignment wrapText="1"/>
    </xf>
    <xf numFmtId="2" fontId="3" fillId="0" borderId="1" xfId="0" applyNumberFormat="1" applyFont="1" applyFill="1" applyBorder="1" applyAlignment="1">
      <alignment horizontal="right" vertical="center"/>
    </xf>
    <xf numFmtId="167" fontId="3" fillId="0" borderId="1" xfId="0" applyNumberFormat="1" applyFont="1" applyFill="1" applyBorder="1" applyAlignment="1">
      <alignment wrapText="1"/>
    </xf>
    <xf numFmtId="0" fontId="3" fillId="0" borderId="1" xfId="0" applyFont="1" applyFill="1" applyBorder="1" applyAlignment="1">
      <alignment horizontal="right" vertical="center"/>
    </xf>
    <xf numFmtId="167" fontId="3" fillId="0" borderId="1" xfId="1" applyNumberFormat="1" applyFont="1" applyFill="1" applyBorder="1" applyAlignment="1">
      <alignment horizontal="right" vertical="center"/>
    </xf>
    <xf numFmtId="0" fontId="3" fillId="0" borderId="1" xfId="0" applyFont="1" applyBorder="1" applyAlignment="1">
      <alignment horizontal="right" vertical="center" wrapText="1"/>
    </xf>
    <xf numFmtId="0" fontId="3" fillId="0" borderId="1" xfId="0" applyFont="1" applyBorder="1" applyAlignment="1">
      <alignment vertical="center" wrapText="1"/>
    </xf>
    <xf numFmtId="165" fontId="3" fillId="0" borderId="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0" fontId="9" fillId="0" borderId="1" xfId="0" applyFont="1" applyBorder="1" applyAlignment="1">
      <alignment vertical="center" wrapText="1"/>
    </xf>
    <xf numFmtId="0" fontId="9" fillId="0" borderId="0" xfId="0" applyFont="1"/>
    <xf numFmtId="0" fontId="3" fillId="0" borderId="1" xfId="6" applyFont="1" applyFill="1" applyBorder="1" applyAlignment="1">
      <alignment horizontal="center" vertical="center" wrapText="1"/>
    </xf>
    <xf numFmtId="0" fontId="3" fillId="2" borderId="1" xfId="0" applyFont="1" applyFill="1" applyBorder="1" applyAlignment="1">
      <alignment horizontal="right" vertical="center"/>
    </xf>
    <xf numFmtId="2" fontId="8" fillId="0" borderId="1" xfId="0" applyNumberFormat="1" applyFont="1" applyBorder="1" applyAlignment="1">
      <alignment vertical="center" wrapText="1"/>
    </xf>
    <xf numFmtId="2" fontId="9" fillId="0" borderId="1" xfId="0" applyNumberFormat="1" applyFont="1" applyBorder="1" applyAlignment="1">
      <alignment vertical="center" wrapText="1"/>
    </xf>
    <xf numFmtId="0" fontId="3" fillId="0" borderId="1" xfId="0" applyFont="1" applyFill="1" applyBorder="1" applyAlignment="1">
      <alignment horizontal="left" vertical="center" wrapText="1"/>
    </xf>
    <xf numFmtId="0" fontId="9" fillId="0" borderId="0" xfId="0" applyFont="1" applyAlignment="1">
      <alignment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9" fillId="0" borderId="1" xfId="0" applyFont="1" applyBorder="1" applyAlignment="1">
      <alignment vertical="center"/>
    </xf>
    <xf numFmtId="3" fontId="9" fillId="0" borderId="1" xfId="0" applyNumberFormat="1" applyFont="1" applyBorder="1" applyAlignment="1">
      <alignment vertical="center" wrapText="1"/>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1" fontId="3" fillId="0" borderId="1" xfId="0" applyNumberFormat="1" applyFont="1" applyBorder="1" applyAlignment="1">
      <alignment horizontal="right" vertical="center" wrapText="1"/>
    </xf>
    <xf numFmtId="1" fontId="3" fillId="0" borderId="1" xfId="0" applyNumberFormat="1" applyFont="1" applyFill="1" applyBorder="1" applyAlignment="1">
      <alignment horizontal="right" vertical="center" wrapText="1"/>
    </xf>
    <xf numFmtId="167" fontId="3" fillId="0" borderId="1" xfId="0" applyNumberFormat="1" applyFont="1" applyBorder="1" applyAlignment="1">
      <alignment vertical="center" wrapText="1"/>
    </xf>
    <xf numFmtId="0" fontId="2" fillId="0" borderId="1" xfId="0" applyFont="1" applyBorder="1" applyAlignment="1">
      <alignment vertical="center" wrapText="1"/>
    </xf>
    <xf numFmtId="164" fontId="9" fillId="0" borderId="0" xfId="1" applyFont="1"/>
    <xf numFmtId="0" fontId="9" fillId="0" borderId="1" xfId="0" applyFont="1" applyBorder="1" applyAlignment="1">
      <alignment wrapText="1"/>
    </xf>
    <xf numFmtId="2" fontId="3" fillId="0" borderId="1" xfId="0" applyNumberFormat="1" applyFont="1" applyBorder="1" applyAlignment="1">
      <alignment vertical="center" wrapText="1"/>
    </xf>
    <xf numFmtId="0" fontId="3" fillId="0" borderId="1" xfId="0" applyFont="1" applyFill="1" applyBorder="1" applyAlignment="1">
      <alignment vertical="center"/>
    </xf>
    <xf numFmtId="0" fontId="9" fillId="0" borderId="1" xfId="0" applyFont="1" applyBorder="1" applyAlignment="1">
      <alignment horizontal="right" vertical="center" wrapText="1"/>
    </xf>
    <xf numFmtId="0" fontId="3" fillId="0" borderId="1" xfId="0" applyFont="1" applyBorder="1" applyAlignment="1">
      <alignment vertical="center"/>
    </xf>
    <xf numFmtId="0" fontId="3" fillId="0" borderId="1" xfId="0" applyFont="1" applyFill="1" applyBorder="1" applyAlignment="1">
      <alignment horizontal="left" wrapText="1"/>
    </xf>
    <xf numFmtId="0" fontId="3" fillId="0" borderId="1" xfId="0" applyFont="1" applyBorder="1" applyAlignment="1">
      <alignment horizontal="left" vertical="center" wrapText="1"/>
    </xf>
    <xf numFmtId="0" fontId="3"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9" fillId="3" borderId="0" xfId="0" applyFont="1" applyFill="1"/>
    <xf numFmtId="2"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43" fontId="8" fillId="0" borderId="1" xfId="0" applyNumberFormat="1" applyFont="1" applyBorder="1" applyAlignment="1">
      <alignment horizontal="right" vertical="center" wrapText="1"/>
    </xf>
    <xf numFmtId="2" fontId="9" fillId="0" borderId="1" xfId="0" applyNumberFormat="1" applyFont="1" applyBorder="1" applyAlignment="1">
      <alignment horizontal="right" vertical="center" wrapText="1"/>
    </xf>
    <xf numFmtId="167"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Fill="1" applyBorder="1" applyAlignment="1">
      <alignment vertical="center" wrapText="1"/>
    </xf>
    <xf numFmtId="3" fontId="3" fillId="0" borderId="1" xfId="0" applyNumberFormat="1" applyFont="1" applyBorder="1" applyAlignment="1">
      <alignment vertical="center" wrapText="1"/>
    </xf>
    <xf numFmtId="0" fontId="9" fillId="0" borderId="0" xfId="0" applyFont="1" applyFill="1" applyBorder="1"/>
    <xf numFmtId="0" fontId="8" fillId="0" borderId="1" xfId="0" applyFont="1" applyFill="1" applyBorder="1" applyAlignment="1">
      <alignment horizontal="center" vertical="center" wrapText="1"/>
    </xf>
    <xf numFmtId="0" fontId="9" fillId="0" borderId="0" xfId="0" applyFont="1" applyFill="1"/>
    <xf numFmtId="3" fontId="9" fillId="0" borderId="0" xfId="0" applyNumberFormat="1" applyFont="1" applyFill="1"/>
    <xf numFmtId="0" fontId="8" fillId="0" borderId="1" xfId="0" applyFont="1" applyFill="1" applyBorder="1" applyAlignment="1">
      <alignment horizontal="center" vertical="center"/>
    </xf>
    <xf numFmtId="0" fontId="9" fillId="0" borderId="1" xfId="0" applyFont="1" applyFill="1" applyBorder="1"/>
    <xf numFmtId="0" fontId="9" fillId="0" borderId="1" xfId="0" applyFont="1" applyFill="1" applyBorder="1" applyAlignment="1">
      <alignment wrapText="1"/>
    </xf>
    <xf numFmtId="0" fontId="8" fillId="0" borderId="0" xfId="0" applyFont="1" applyFill="1"/>
    <xf numFmtId="0" fontId="9" fillId="0" borderId="1" xfId="0" applyFont="1" applyFill="1" applyBorder="1" applyAlignment="1">
      <alignment horizontal="left" vertical="center" wrapText="1"/>
    </xf>
    <xf numFmtId="0" fontId="9" fillId="0" borderId="0" xfId="0" applyFont="1" applyFill="1" applyAlignment="1">
      <alignment wrapText="1"/>
    </xf>
    <xf numFmtId="0" fontId="3" fillId="0" borderId="0" xfId="0" applyFont="1"/>
    <xf numFmtId="164" fontId="3" fillId="0" borderId="0" xfId="1" applyFont="1"/>
    <xf numFmtId="0" fontId="3" fillId="0" borderId="0" xfId="0" applyFont="1" applyAlignment="1">
      <alignment vertical="center"/>
    </xf>
    <xf numFmtId="0" fontId="3" fillId="0" borderId="0" xfId="0" applyFont="1" applyFill="1"/>
    <xf numFmtId="2" fontId="2" fillId="0" borderId="1" xfId="0" applyNumberFormat="1" applyFont="1" applyBorder="1" applyAlignment="1">
      <alignment horizontal="right" vertical="center" wrapText="1"/>
    </xf>
    <xf numFmtId="0" fontId="10" fillId="0" borderId="0" xfId="0" applyFont="1" applyFill="1" applyBorder="1" applyAlignment="1">
      <alignment vertical="center"/>
    </xf>
    <xf numFmtId="0" fontId="3" fillId="0" borderId="0" xfId="0" applyFont="1" applyFill="1" applyBorder="1"/>
    <xf numFmtId="3" fontId="3" fillId="0" borderId="0" xfId="0" applyNumberFormat="1" applyFont="1" applyFill="1" applyBorder="1"/>
    <xf numFmtId="0" fontId="2" fillId="0" borderId="1" xfId="0" applyFont="1" applyFill="1" applyBorder="1" applyAlignment="1">
      <alignment horizontal="center" vertical="center" wrapText="1"/>
    </xf>
    <xf numFmtId="3" fontId="3" fillId="0" borderId="0" xfId="0" applyNumberFormat="1" applyFont="1" applyFill="1"/>
    <xf numFmtId="3" fontId="3" fillId="0" borderId="1" xfId="0" applyNumberFormat="1" applyFont="1" applyFill="1" applyBorder="1" applyAlignment="1">
      <alignment horizontal="left" vertical="center" wrapText="1"/>
    </xf>
    <xf numFmtId="2" fontId="3" fillId="0" borderId="0" xfId="0" applyNumberFormat="1" applyFont="1"/>
    <xf numFmtId="167" fontId="2" fillId="0" borderId="1" xfId="0" applyNumberFormat="1" applyFont="1" applyBorder="1" applyAlignment="1">
      <alignment horizontal="right"/>
    </xf>
    <xf numFmtId="0" fontId="3" fillId="0" borderId="1" xfId="0" applyFont="1" applyBorder="1" applyAlignment="1">
      <alignment horizontal="right"/>
    </xf>
    <xf numFmtId="0" fontId="3" fillId="0" borderId="1" xfId="0" applyFont="1" applyBorder="1"/>
    <xf numFmtId="167" fontId="2" fillId="3" borderId="0" xfId="0" applyNumberFormat="1" applyFont="1" applyFill="1"/>
    <xf numFmtId="2" fontId="2" fillId="3" borderId="0" xfId="0" applyNumberFormat="1" applyFont="1" applyFill="1"/>
    <xf numFmtId="167" fontId="3" fillId="0" borderId="0" xfId="0" applyNumberFormat="1" applyFont="1"/>
    <xf numFmtId="167" fontId="2" fillId="0" borderId="1" xfId="0" applyNumberFormat="1" applyFont="1" applyBorder="1"/>
    <xf numFmtId="167" fontId="2" fillId="0" borderId="0" xfId="0" applyNumberFormat="1" applyFont="1"/>
    <xf numFmtId="167" fontId="2" fillId="0" borderId="1" xfId="0" applyNumberFormat="1" applyFont="1" applyBorder="1" applyAlignment="1">
      <alignment vertical="center"/>
    </xf>
    <xf numFmtId="2" fontId="3" fillId="3" borderId="0" xfId="0" applyNumberFormat="1" applyFont="1" applyFill="1"/>
    <xf numFmtId="0" fontId="2" fillId="0" borderId="1" xfId="0" applyFont="1" applyBorder="1"/>
    <xf numFmtId="0" fontId="2" fillId="0" borderId="1" xfId="0" applyFont="1" applyBorder="1" applyAlignment="1">
      <alignment horizontal="right"/>
    </xf>
    <xf numFmtId="165" fontId="3"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167" fontId="3" fillId="0" borderId="1" xfId="0" applyNumberFormat="1" applyFont="1" applyBorder="1" applyAlignment="1"/>
    <xf numFmtId="0" fontId="3" fillId="0" borderId="2" xfId="0" applyFont="1" applyBorder="1" applyAlignment="1"/>
    <xf numFmtId="0" fontId="3" fillId="0" borderId="2" xfId="0" applyFont="1" applyFill="1" applyBorder="1" applyAlignment="1">
      <alignment vertical="center"/>
    </xf>
    <xf numFmtId="0" fontId="3" fillId="2" borderId="2" xfId="0" applyFont="1" applyFill="1" applyBorder="1" applyAlignment="1">
      <alignment vertical="center"/>
    </xf>
    <xf numFmtId="0" fontId="2" fillId="0" borderId="2" xfId="0" applyFont="1" applyBorder="1" applyAlignment="1">
      <alignment vertical="center"/>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xf>
    <xf numFmtId="2" fontId="3" fillId="0" borderId="1" xfId="0" applyNumberFormat="1" applyFont="1" applyBorder="1"/>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2" fillId="0" borderId="0" xfId="0" applyFont="1" applyAlignment="1">
      <alignment horizontal="center" vertical="center" wrapText="1"/>
    </xf>
    <xf numFmtId="2" fontId="3" fillId="0" borderId="1" xfId="0" applyNumberFormat="1" applyFont="1" applyFill="1" applyBorder="1" applyAlignment="1">
      <alignment vertical="center"/>
    </xf>
    <xf numFmtId="2" fontId="3" fillId="0" borderId="1" xfId="0" applyNumberFormat="1" applyFont="1" applyBorder="1" applyAlignment="1">
      <alignment vertical="center"/>
    </xf>
    <xf numFmtId="0" fontId="3" fillId="0" borderId="0" xfId="0" applyFont="1" applyBorder="1" applyAlignment="1">
      <alignment horizontal="center"/>
    </xf>
    <xf numFmtId="0" fontId="2" fillId="0" borderId="0" xfId="0" applyFont="1" applyBorder="1" applyAlignment="1">
      <alignment horizontal="center" vertical="center" wrapText="1"/>
    </xf>
    <xf numFmtId="0" fontId="3" fillId="0" borderId="0" xfId="0" applyFont="1" applyBorder="1"/>
    <xf numFmtId="0" fontId="3" fillId="0" borderId="0" xfId="0" applyFont="1" applyFill="1" applyBorder="1" applyAlignment="1">
      <alignment wrapText="1"/>
    </xf>
    <xf numFmtId="167" fontId="3" fillId="0" borderId="0" xfId="0" applyNumberFormat="1" applyFont="1" applyBorder="1"/>
    <xf numFmtId="0" fontId="2" fillId="0" borderId="0" xfId="0" applyFont="1" applyBorder="1" applyAlignment="1">
      <alignment vertical="center" wrapText="1"/>
    </xf>
    <xf numFmtId="167" fontId="3" fillId="0" borderId="0" xfId="0" applyNumberFormat="1" applyFont="1" applyFill="1" applyBorder="1" applyAlignment="1">
      <alignment wrapText="1"/>
    </xf>
    <xf numFmtId="168" fontId="3" fillId="0" borderId="0" xfId="0" applyNumberFormat="1" applyFont="1" applyFill="1" applyBorder="1" applyAlignment="1">
      <alignment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wrapText="1"/>
    </xf>
    <xf numFmtId="167" fontId="3" fillId="0" borderId="0" xfId="0" applyNumberFormat="1" applyFont="1" applyBorder="1" applyAlignment="1">
      <alignment vertical="center" wrapText="1"/>
    </xf>
    <xf numFmtId="0" fontId="3" fillId="0" borderId="0" xfId="0" applyFont="1" applyBorder="1" applyAlignment="1">
      <alignment horizontal="left" vertical="center" wrapText="1"/>
    </xf>
    <xf numFmtId="0" fontId="12" fillId="0" borderId="0" xfId="0" applyFont="1" applyBorder="1" applyAlignment="1">
      <alignment horizontal="center" vertical="center" wrapText="1"/>
    </xf>
    <xf numFmtId="167" fontId="3" fillId="0" borderId="1" xfId="0" applyNumberFormat="1" applyFont="1" applyBorder="1" applyAlignment="1">
      <alignment horizontal="right" vertical="center" wrapText="1"/>
    </xf>
    <xf numFmtId="167" fontId="3" fillId="0" borderId="1" xfId="0" applyNumberFormat="1" applyFont="1" applyBorder="1" applyAlignment="1">
      <alignment horizontal="right"/>
    </xf>
    <xf numFmtId="167" fontId="3" fillId="0" borderId="1" xfId="5" applyNumberFormat="1" applyFont="1" applyBorder="1" applyAlignment="1">
      <alignment horizontal="right" vertical="center" wrapText="1"/>
    </xf>
    <xf numFmtId="0" fontId="3" fillId="0" borderId="0" xfId="0" applyFont="1" applyBorder="1" applyAlignment="1"/>
    <xf numFmtId="0" fontId="3" fillId="0" borderId="2" xfId="0" applyFont="1" applyFill="1" applyBorder="1" applyAlignment="1">
      <alignment horizontal="right" vertical="center"/>
    </xf>
    <xf numFmtId="1" fontId="3" fillId="0" borderId="2" xfId="0" applyNumberFormat="1" applyFont="1" applyFill="1" applyBorder="1" applyAlignment="1">
      <alignment horizontal="right" vertical="center" wrapText="1"/>
    </xf>
    <xf numFmtId="0" fontId="2" fillId="0" borderId="2" xfId="0" applyFont="1" applyBorder="1" applyAlignment="1">
      <alignment horizontal="right" vertical="center" wrapText="1"/>
    </xf>
    <xf numFmtId="0" fontId="3" fillId="2" borderId="2" xfId="0" applyFont="1" applyFill="1" applyBorder="1" applyAlignment="1">
      <alignment horizontal="right" vertical="center"/>
    </xf>
    <xf numFmtId="0" fontId="2" fillId="0" borderId="2" xfId="0" applyFont="1" applyBorder="1" applyAlignment="1">
      <alignment horizontal="right" vertical="center"/>
    </xf>
    <xf numFmtId="0" fontId="3" fillId="0" borderId="2" xfId="0" applyFont="1" applyBorder="1" applyAlignment="1">
      <alignment horizontal="right" vertical="center" wrapText="1"/>
    </xf>
    <xf numFmtId="167" fontId="2" fillId="0" borderId="1" xfId="0" applyNumberFormat="1" applyFont="1" applyBorder="1" applyAlignment="1">
      <alignment horizontal="right" vertical="center"/>
    </xf>
    <xf numFmtId="0" fontId="3" fillId="0" borderId="2" xfId="0" applyFont="1" applyBorder="1" applyAlignment="1">
      <alignment horizontal="right" vertical="center"/>
    </xf>
    <xf numFmtId="1" fontId="3" fillId="0" borderId="2" xfId="0" applyNumberFormat="1" applyFont="1" applyBorder="1" applyAlignment="1">
      <alignment horizontal="right" vertical="center" wrapText="1"/>
    </xf>
    <xf numFmtId="0" fontId="2" fillId="0" borderId="1" xfId="0" applyFont="1" applyBorder="1" applyAlignment="1">
      <alignment horizontal="right" vertical="center"/>
    </xf>
    <xf numFmtId="2" fontId="9" fillId="0" borderId="0" xfId="0" applyNumberFormat="1" applyFont="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xf>
    <xf numFmtId="167" fontId="3" fillId="0" borderId="1" xfId="0" applyNumberFormat="1" applyFont="1" applyFill="1" applyBorder="1" applyAlignment="1">
      <alignment horizontal="left" wrapText="1"/>
    </xf>
    <xf numFmtId="0" fontId="3" fillId="0" borderId="1" xfId="0" applyFont="1" applyBorder="1" applyAlignment="1">
      <alignment horizontal="left" wrapText="1"/>
    </xf>
    <xf numFmtId="167" fontId="3" fillId="0" borderId="1" xfId="0" applyNumberFormat="1" applyFont="1" applyBorder="1" applyAlignment="1">
      <alignment horizontal="left"/>
    </xf>
    <xf numFmtId="167" fontId="3" fillId="0" borderId="1" xfId="0" applyNumberFormat="1" applyFont="1" applyBorder="1" applyAlignment="1">
      <alignment horizontal="left" vertical="center" wrapText="1"/>
    </xf>
    <xf numFmtId="168" fontId="3" fillId="0" borderId="1" xfId="0" applyNumberFormat="1" applyFont="1" applyFill="1" applyBorder="1" applyAlignment="1">
      <alignment horizontal="left" wrapText="1"/>
    </xf>
    <xf numFmtId="0" fontId="12" fillId="0" borderId="1" xfId="0" applyFont="1" applyBorder="1" applyAlignment="1">
      <alignment horizontal="left" vertical="center" wrapText="1"/>
    </xf>
    <xf numFmtId="0" fontId="9" fillId="0" borderId="1" xfId="0" applyFont="1" applyFill="1" applyBorder="1" applyAlignment="1">
      <alignment horizontal="left" wrapText="1"/>
    </xf>
    <xf numFmtId="3" fontId="8" fillId="2" borderId="1" xfId="0" applyNumberFormat="1" applyFont="1" applyFill="1" applyBorder="1" applyAlignment="1">
      <alignment horizontal="center" vertical="center" wrapText="1"/>
    </xf>
    <xf numFmtId="3" fontId="8" fillId="2" borderId="1" xfId="0" applyNumberFormat="1" applyFont="1" applyFill="1" applyBorder="1" applyAlignment="1">
      <alignment vertical="center" wrapText="1"/>
    </xf>
    <xf numFmtId="3" fontId="9" fillId="2" borderId="1" xfId="0" applyNumberFormat="1" applyFont="1" applyFill="1" applyBorder="1" applyAlignment="1">
      <alignment vertical="center" wrapText="1"/>
    </xf>
    <xf numFmtId="3" fontId="8" fillId="2" borderId="1" xfId="0" applyNumberFormat="1" applyFont="1" applyFill="1" applyBorder="1" applyAlignment="1">
      <alignment wrapText="1"/>
    </xf>
    <xf numFmtId="3" fontId="9" fillId="2" borderId="1" xfId="0" applyNumberFormat="1" applyFont="1" applyFill="1" applyBorder="1" applyAlignment="1">
      <alignment wrapText="1"/>
    </xf>
    <xf numFmtId="0" fontId="9" fillId="2" borderId="1" xfId="0" applyFont="1" applyFill="1" applyBorder="1" applyAlignment="1">
      <alignment wrapText="1"/>
    </xf>
    <xf numFmtId="3" fontId="3" fillId="2" borderId="1" xfId="0" applyNumberFormat="1" applyFont="1" applyFill="1" applyBorder="1" applyAlignment="1">
      <alignment vertical="center" wrapText="1"/>
    </xf>
    <xf numFmtId="0" fontId="3" fillId="0" borderId="4" xfId="0" applyFont="1" applyFill="1" applyBorder="1" applyAlignment="1">
      <alignment horizontal="left" wrapText="1"/>
    </xf>
    <xf numFmtId="3" fontId="15" fillId="0" borderId="0" xfId="0" applyNumberFormat="1" applyFont="1"/>
    <xf numFmtId="3" fontId="9" fillId="0" borderId="0" xfId="0" applyNumberFormat="1" applyFont="1" applyFill="1" applyAlignment="1">
      <alignment wrapText="1"/>
    </xf>
    <xf numFmtId="0" fontId="10" fillId="0" borderId="0" xfId="0" applyFont="1" applyBorder="1" applyAlignment="1">
      <alignment horizontal="center" vertical="center"/>
    </xf>
    <xf numFmtId="0" fontId="11" fillId="0" borderId="3"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3" xfId="0" applyFont="1" applyFill="1" applyBorder="1" applyAlignment="1">
      <alignment horizontal="center"/>
    </xf>
    <xf numFmtId="0" fontId="2" fillId="0" borderId="0" xfId="0" applyFont="1" applyBorder="1" applyAlignment="1">
      <alignment horizontal="center" vertical="center" wrapText="1"/>
    </xf>
    <xf numFmtId="0" fontId="3" fillId="0" borderId="0" xfId="0" applyFont="1" applyBorder="1" applyAlignment="1">
      <alignment horizont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2" fontId="3"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2" fillId="0" borderId="0" xfId="0" applyFont="1" applyAlignment="1">
      <alignment horizontal="center" vertical="center" wrapText="1"/>
    </xf>
    <xf numFmtId="0" fontId="3" fillId="0" borderId="3" xfId="0" applyFont="1" applyBorder="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2" fontId="3" fillId="0" borderId="4" xfId="0" applyNumberFormat="1" applyFont="1" applyFill="1" applyBorder="1" applyAlignment="1">
      <alignment horizontal="center" vertical="center"/>
    </xf>
    <xf numFmtId="2" fontId="3" fillId="0" borderId="5" xfId="0" applyNumberFormat="1" applyFont="1" applyFill="1" applyBorder="1" applyAlignment="1">
      <alignment horizontal="center" vertical="center"/>
    </xf>
  </cellXfs>
  <cellStyles count="7">
    <cellStyle name="Comma" xfId="1" builtinId="3"/>
    <cellStyle name="Comma 2" xfId="5"/>
    <cellStyle name="Comma 3" xfId="3"/>
    <cellStyle name="Normal" xfId="0" builtinId="0"/>
    <cellStyle name="Normal 10" xfId="6"/>
    <cellStyle name="Normal 2" xfId="2"/>
    <cellStyle name="Normal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3"/>
  <sheetViews>
    <sheetView zoomScaleNormal="100" workbookViewId="0">
      <pane ySplit="2205" topLeftCell="A101"/>
      <selection activeCell="A2" sqref="A2:J2"/>
      <selection pane="bottomLeft" activeCell="K143" sqref="K143"/>
    </sheetView>
  </sheetViews>
  <sheetFormatPr defaultColWidth="9.140625" defaultRowHeight="15" x14ac:dyDescent="0.25"/>
  <cols>
    <col min="1" max="1" width="6.140625" style="23" customWidth="1"/>
    <col min="2" max="2" width="40.28515625" style="23" customWidth="1"/>
    <col min="3" max="3" width="6" style="29" customWidth="1"/>
    <col min="4" max="4" width="13.85546875" style="29" customWidth="1"/>
    <col min="5" max="5" width="11.28515625" style="29" customWidth="1"/>
    <col min="6" max="6" width="8.5703125" style="29" customWidth="1"/>
    <col min="7" max="7" width="10" style="29" customWidth="1"/>
    <col min="8" max="8" width="8.28515625" style="29" customWidth="1"/>
    <col min="9" max="9" width="11.28515625" style="29" customWidth="1"/>
    <col min="10" max="10" width="31.7109375" style="23" customWidth="1"/>
    <col min="11" max="11" width="16.7109375" style="23" bestFit="1" customWidth="1"/>
    <col min="12" max="16384" width="9.140625" style="23"/>
  </cols>
  <sheetData>
    <row r="1" spans="1:12" ht="16.5" x14ac:dyDescent="0.25">
      <c r="A1" s="183" t="s">
        <v>409</v>
      </c>
      <c r="B1" s="183"/>
      <c r="C1" s="183"/>
      <c r="D1" s="183"/>
      <c r="E1" s="183"/>
      <c r="F1" s="183"/>
      <c r="G1" s="183"/>
      <c r="H1" s="183"/>
      <c r="I1" s="183"/>
      <c r="J1" s="183"/>
      <c r="K1" s="74"/>
      <c r="L1" s="74"/>
    </row>
    <row r="2" spans="1:12" ht="16.5" x14ac:dyDescent="0.25">
      <c r="A2" s="184" t="s">
        <v>500</v>
      </c>
      <c r="B2" s="184"/>
      <c r="C2" s="184"/>
      <c r="D2" s="184"/>
      <c r="E2" s="184"/>
      <c r="F2" s="184"/>
      <c r="G2" s="184"/>
      <c r="H2" s="184"/>
      <c r="I2" s="184"/>
      <c r="J2" s="184"/>
      <c r="K2" s="74"/>
      <c r="L2" s="74"/>
    </row>
    <row r="3" spans="1:12" x14ac:dyDescent="0.25">
      <c r="A3" s="185" t="s">
        <v>0</v>
      </c>
      <c r="B3" s="185" t="s">
        <v>402</v>
      </c>
      <c r="C3" s="185" t="s">
        <v>396</v>
      </c>
      <c r="D3" s="185"/>
      <c r="E3" s="185"/>
      <c r="F3" s="185"/>
      <c r="G3" s="185" t="s">
        <v>397</v>
      </c>
      <c r="H3" s="185"/>
      <c r="I3" s="185" t="s">
        <v>401</v>
      </c>
      <c r="J3" s="187" t="s">
        <v>19</v>
      </c>
      <c r="K3" s="74"/>
      <c r="L3" s="74"/>
    </row>
    <row r="4" spans="1:12" ht="47.25" customHeight="1" x14ac:dyDescent="0.25">
      <c r="A4" s="185"/>
      <c r="B4" s="185"/>
      <c r="C4" s="51" t="s">
        <v>105</v>
      </c>
      <c r="D4" s="51" t="s">
        <v>101</v>
      </c>
      <c r="E4" s="51" t="s">
        <v>20</v>
      </c>
      <c r="F4" s="51" t="s">
        <v>21</v>
      </c>
      <c r="G4" s="51" t="s">
        <v>20</v>
      </c>
      <c r="H4" s="51" t="s">
        <v>21</v>
      </c>
      <c r="I4" s="185"/>
      <c r="J4" s="188"/>
      <c r="K4" s="75" t="s">
        <v>407</v>
      </c>
      <c r="L4" s="76" t="s">
        <v>406</v>
      </c>
    </row>
    <row r="5" spans="1:12" x14ac:dyDescent="0.25">
      <c r="A5" s="186" t="s">
        <v>400</v>
      </c>
      <c r="B5" s="186"/>
      <c r="C5" s="50"/>
      <c r="D5" s="50"/>
      <c r="E5" s="58">
        <f>E32+E6</f>
        <v>2652.3300000000004</v>
      </c>
      <c r="F5" s="57"/>
      <c r="G5" s="58">
        <f>G32+G6</f>
        <v>2272.6000000000004</v>
      </c>
      <c r="H5" s="50"/>
      <c r="I5" s="56">
        <f>G5/E5*100</f>
        <v>85.683154056998944</v>
      </c>
      <c r="J5" s="22"/>
      <c r="K5" s="40"/>
      <c r="L5" s="66"/>
    </row>
    <row r="6" spans="1:12" x14ac:dyDescent="0.25">
      <c r="A6" s="50" t="s">
        <v>322</v>
      </c>
      <c r="B6" s="186" t="s">
        <v>325</v>
      </c>
      <c r="C6" s="186"/>
      <c r="D6" s="186"/>
      <c r="E6" s="56">
        <f>E7+E11+E14+E16+E20+E26+E30</f>
        <v>264.65000000000003</v>
      </c>
      <c r="F6" s="57"/>
      <c r="G6" s="56">
        <f>G7+G11+G14+G16+G20+G26+G30</f>
        <v>235.67</v>
      </c>
      <c r="H6" s="50"/>
      <c r="I6" s="56">
        <f t="shared" ref="I6:I11" si="0">G6/E6*100</f>
        <v>89.049688267523123</v>
      </c>
      <c r="J6" s="22"/>
      <c r="K6" s="55"/>
      <c r="L6" s="66"/>
    </row>
    <row r="7" spans="1:12" x14ac:dyDescent="0.25">
      <c r="A7" s="34">
        <v>1</v>
      </c>
      <c r="B7" s="31" t="s">
        <v>13</v>
      </c>
      <c r="C7" s="22"/>
      <c r="D7" s="22"/>
      <c r="E7" s="26">
        <f>SUM(E8:E10)</f>
        <v>27.34</v>
      </c>
      <c r="F7" s="22"/>
      <c r="G7" s="26">
        <f>SUM(G8:G10)</f>
        <v>24.490000000000002</v>
      </c>
      <c r="H7" s="22"/>
      <c r="I7" s="56">
        <f t="shared" si="0"/>
        <v>89.575713240673011</v>
      </c>
      <c r="J7" s="41"/>
      <c r="L7" s="66"/>
    </row>
    <row r="8" spans="1:12" ht="30" x14ac:dyDescent="0.25">
      <c r="A8" s="52">
        <v>1.1000000000000001</v>
      </c>
      <c r="B8" s="28" t="s">
        <v>276</v>
      </c>
      <c r="C8" s="22">
        <v>2020</v>
      </c>
      <c r="D8" s="22" t="s">
        <v>1</v>
      </c>
      <c r="E8" s="27">
        <v>16</v>
      </c>
      <c r="F8" s="33">
        <v>2220</v>
      </c>
      <c r="G8" s="27">
        <v>13.73</v>
      </c>
      <c r="H8" s="63">
        <v>2000</v>
      </c>
      <c r="I8" s="59">
        <f t="shared" si="0"/>
        <v>85.8125</v>
      </c>
      <c r="J8" s="41"/>
      <c r="K8" s="23">
        <v>0</v>
      </c>
      <c r="L8" s="66"/>
    </row>
    <row r="9" spans="1:12" ht="30" x14ac:dyDescent="0.25">
      <c r="A9" s="52">
        <v>1.2</v>
      </c>
      <c r="B9" s="28" t="s">
        <v>277</v>
      </c>
      <c r="C9" s="22">
        <v>2021</v>
      </c>
      <c r="D9" s="22" t="s">
        <v>1</v>
      </c>
      <c r="E9" s="27">
        <v>7.84</v>
      </c>
      <c r="F9" s="33">
        <v>2220</v>
      </c>
      <c r="G9" s="27">
        <v>7.53</v>
      </c>
      <c r="H9" s="33">
        <v>2220</v>
      </c>
      <c r="I9" s="59">
        <f t="shared" si="0"/>
        <v>96.045918367346943</v>
      </c>
      <c r="J9" s="41"/>
      <c r="K9" s="23">
        <v>0</v>
      </c>
      <c r="L9" s="66"/>
    </row>
    <row r="10" spans="1:12" ht="30" x14ac:dyDescent="0.25">
      <c r="A10" s="52">
        <v>1.3</v>
      </c>
      <c r="B10" s="28" t="s">
        <v>278</v>
      </c>
      <c r="C10" s="22">
        <v>2022</v>
      </c>
      <c r="D10" s="22" t="s">
        <v>1</v>
      </c>
      <c r="E10" s="27">
        <v>3.5</v>
      </c>
      <c r="F10" s="33">
        <v>2220</v>
      </c>
      <c r="G10" s="27">
        <v>3.23</v>
      </c>
      <c r="H10" s="33">
        <v>2220</v>
      </c>
      <c r="I10" s="59">
        <f t="shared" si="0"/>
        <v>92.285714285714278</v>
      </c>
      <c r="J10" s="41"/>
      <c r="K10" s="23">
        <v>0</v>
      </c>
      <c r="L10" s="66"/>
    </row>
    <row r="11" spans="1:12" x14ac:dyDescent="0.25">
      <c r="A11" s="34">
        <v>2</v>
      </c>
      <c r="B11" s="31" t="s">
        <v>7</v>
      </c>
      <c r="C11" s="22"/>
      <c r="D11" s="22"/>
      <c r="E11" s="26">
        <f>SUM(E12:E13)</f>
        <v>20.46</v>
      </c>
      <c r="F11" s="33"/>
      <c r="G11" s="26">
        <f>SUM(G12:G13)</f>
        <v>19.29</v>
      </c>
      <c r="H11" s="33"/>
      <c r="I11" s="56">
        <f t="shared" si="0"/>
        <v>94.281524926686217</v>
      </c>
      <c r="J11" s="41"/>
      <c r="L11" s="66"/>
    </row>
    <row r="12" spans="1:12" ht="30" x14ac:dyDescent="0.25">
      <c r="A12" s="52">
        <v>2.1</v>
      </c>
      <c r="B12" s="28" t="s">
        <v>279</v>
      </c>
      <c r="C12" s="22">
        <v>2020</v>
      </c>
      <c r="D12" s="22" t="s">
        <v>1</v>
      </c>
      <c r="E12" s="27">
        <v>11.24</v>
      </c>
      <c r="F12" s="33">
        <v>2220</v>
      </c>
      <c r="G12" s="27">
        <v>10.94</v>
      </c>
      <c r="H12" s="33" t="s">
        <v>280</v>
      </c>
      <c r="I12" s="59">
        <f t="shared" ref="I12:I31" si="1">G12/E12*100</f>
        <v>97.330960854092524</v>
      </c>
      <c r="J12" s="41"/>
      <c r="K12" s="23">
        <v>0</v>
      </c>
      <c r="L12" s="66"/>
    </row>
    <row r="13" spans="1:12" ht="30" x14ac:dyDescent="0.25">
      <c r="A13" s="52">
        <v>2.2000000000000002</v>
      </c>
      <c r="B13" s="28" t="s">
        <v>281</v>
      </c>
      <c r="C13" s="22">
        <v>2022</v>
      </c>
      <c r="D13" s="22" t="s">
        <v>1</v>
      </c>
      <c r="E13" s="27">
        <v>9.2200000000000006</v>
      </c>
      <c r="F13" s="33">
        <v>2220</v>
      </c>
      <c r="G13" s="27">
        <v>8.35</v>
      </c>
      <c r="H13" s="33" t="s">
        <v>282</v>
      </c>
      <c r="I13" s="59">
        <f t="shared" si="1"/>
        <v>90.563991323210402</v>
      </c>
      <c r="J13" s="41"/>
      <c r="K13" s="23">
        <v>0</v>
      </c>
      <c r="L13" s="66"/>
    </row>
    <row r="14" spans="1:12" x14ac:dyDescent="0.25">
      <c r="A14" s="34">
        <v>3</v>
      </c>
      <c r="B14" s="31" t="s">
        <v>95</v>
      </c>
      <c r="C14" s="22"/>
      <c r="D14" s="22"/>
      <c r="E14" s="26">
        <f>E15</f>
        <v>19.2</v>
      </c>
      <c r="F14" s="33"/>
      <c r="G14" s="26">
        <f>G15</f>
        <v>14.58</v>
      </c>
      <c r="H14" s="33"/>
      <c r="I14" s="56">
        <f t="shared" si="1"/>
        <v>75.9375</v>
      </c>
      <c r="J14" s="41"/>
      <c r="L14" s="66"/>
    </row>
    <row r="15" spans="1:12" ht="30" x14ac:dyDescent="0.25">
      <c r="A15" s="52">
        <v>3.1</v>
      </c>
      <c r="B15" s="28" t="s">
        <v>283</v>
      </c>
      <c r="C15" s="22">
        <v>2022</v>
      </c>
      <c r="D15" s="22" t="s">
        <v>1</v>
      </c>
      <c r="E15" s="27">
        <v>19.2</v>
      </c>
      <c r="F15" s="33">
        <v>2220</v>
      </c>
      <c r="G15" s="27">
        <v>14.58</v>
      </c>
      <c r="H15" s="33" t="s">
        <v>284</v>
      </c>
      <c r="I15" s="59">
        <f t="shared" si="1"/>
        <v>75.9375</v>
      </c>
      <c r="J15" s="41"/>
      <c r="K15" s="23">
        <v>0</v>
      </c>
      <c r="L15" s="66"/>
    </row>
    <row r="16" spans="1:12" x14ac:dyDescent="0.25">
      <c r="A16" s="34">
        <v>4</v>
      </c>
      <c r="B16" s="31" t="s">
        <v>5</v>
      </c>
      <c r="C16" s="22"/>
      <c r="D16" s="22"/>
      <c r="E16" s="26">
        <f>SUM(E17:E19)</f>
        <v>34.43</v>
      </c>
      <c r="F16" s="33"/>
      <c r="G16" s="26">
        <f>SUM(G17:G19)</f>
        <v>24.040000000000003</v>
      </c>
      <c r="H16" s="33"/>
      <c r="I16" s="56">
        <f t="shared" si="1"/>
        <v>69.82282892826025</v>
      </c>
      <c r="J16" s="41"/>
      <c r="L16" s="66"/>
    </row>
    <row r="17" spans="1:12" ht="30" x14ac:dyDescent="0.25">
      <c r="A17" s="52">
        <v>4.0999999999999996</v>
      </c>
      <c r="B17" s="28" t="s">
        <v>399</v>
      </c>
      <c r="C17" s="22">
        <v>2020</v>
      </c>
      <c r="D17" s="22" t="s">
        <v>1</v>
      </c>
      <c r="E17" s="42">
        <v>5.47</v>
      </c>
      <c r="F17" s="63">
        <v>2220</v>
      </c>
      <c r="G17" s="42">
        <v>4.37</v>
      </c>
      <c r="H17" s="33" t="s">
        <v>285</v>
      </c>
      <c r="I17" s="59">
        <f t="shared" si="1"/>
        <v>79.890310786106028</v>
      </c>
      <c r="J17" s="41"/>
      <c r="K17" s="23">
        <v>0</v>
      </c>
      <c r="L17" s="66"/>
    </row>
    <row r="18" spans="1:12" ht="30" x14ac:dyDescent="0.25">
      <c r="A18" s="52">
        <v>4.2</v>
      </c>
      <c r="B18" s="28" t="s">
        <v>286</v>
      </c>
      <c r="C18" s="22">
        <v>2021</v>
      </c>
      <c r="D18" s="22" t="s">
        <v>1</v>
      </c>
      <c r="E18" s="27">
        <v>20.27</v>
      </c>
      <c r="F18" s="33">
        <v>2220</v>
      </c>
      <c r="G18" s="27">
        <v>18.440000000000001</v>
      </c>
      <c r="H18" s="33" t="s">
        <v>287</v>
      </c>
      <c r="I18" s="59">
        <f t="shared" si="1"/>
        <v>90.971879625061675</v>
      </c>
      <c r="J18" s="41"/>
      <c r="K18" s="23">
        <v>0</v>
      </c>
      <c r="L18" s="66"/>
    </row>
    <row r="19" spans="1:12" ht="30" x14ac:dyDescent="0.25">
      <c r="A19" s="52">
        <v>4.3</v>
      </c>
      <c r="B19" s="28" t="s">
        <v>288</v>
      </c>
      <c r="C19" s="22">
        <v>2022</v>
      </c>
      <c r="D19" s="22" t="s">
        <v>1</v>
      </c>
      <c r="E19" s="27">
        <v>8.69</v>
      </c>
      <c r="F19" s="33">
        <v>2220</v>
      </c>
      <c r="G19" s="27">
        <v>1.23</v>
      </c>
      <c r="H19" s="33" t="s">
        <v>289</v>
      </c>
      <c r="I19" s="59">
        <f t="shared" si="1"/>
        <v>14.154200230149597</v>
      </c>
      <c r="J19" s="41"/>
      <c r="K19" s="23">
        <v>0</v>
      </c>
      <c r="L19" s="66"/>
    </row>
    <row r="20" spans="1:12" x14ac:dyDescent="0.25">
      <c r="A20" s="34">
        <v>5</v>
      </c>
      <c r="B20" s="31" t="s">
        <v>3</v>
      </c>
      <c r="C20" s="22"/>
      <c r="D20" s="22"/>
      <c r="E20" s="26">
        <f>SUM(E21:E25)</f>
        <v>78.600000000000009</v>
      </c>
      <c r="F20" s="33"/>
      <c r="G20" s="26">
        <f>SUM(G21:G25)</f>
        <v>70.929999999999993</v>
      </c>
      <c r="H20" s="33"/>
      <c r="I20" s="56">
        <f t="shared" si="1"/>
        <v>90.241730279898206</v>
      </c>
      <c r="J20" s="41"/>
      <c r="L20" s="66"/>
    </row>
    <row r="21" spans="1:12" ht="30" x14ac:dyDescent="0.25">
      <c r="A21" s="52">
        <v>5.0999999999999996</v>
      </c>
      <c r="B21" s="28" t="s">
        <v>290</v>
      </c>
      <c r="C21" s="22">
        <v>2020</v>
      </c>
      <c r="D21" s="22" t="s">
        <v>1</v>
      </c>
      <c r="E21" s="27">
        <v>13</v>
      </c>
      <c r="F21" s="33">
        <v>2220</v>
      </c>
      <c r="G21" s="27">
        <v>11.95</v>
      </c>
      <c r="H21" s="33">
        <v>2000</v>
      </c>
      <c r="I21" s="59">
        <f t="shared" si="1"/>
        <v>91.92307692307692</v>
      </c>
      <c r="J21" s="41"/>
      <c r="K21" s="23">
        <v>0</v>
      </c>
      <c r="L21" s="66"/>
    </row>
    <row r="22" spans="1:12" ht="30" x14ac:dyDescent="0.25">
      <c r="A22" s="52">
        <v>5.2</v>
      </c>
      <c r="B22" s="28" t="s">
        <v>291</v>
      </c>
      <c r="C22" s="22">
        <v>2020</v>
      </c>
      <c r="D22" s="22" t="s">
        <v>1</v>
      </c>
      <c r="E22" s="27">
        <v>9</v>
      </c>
      <c r="F22" s="33">
        <v>2220</v>
      </c>
      <c r="G22" s="27">
        <v>8.2200000000000006</v>
      </c>
      <c r="H22" s="33">
        <v>2000</v>
      </c>
      <c r="I22" s="59">
        <f t="shared" si="1"/>
        <v>91.333333333333343</v>
      </c>
      <c r="J22" s="41"/>
      <c r="K22" s="23">
        <v>0</v>
      </c>
      <c r="L22" s="66"/>
    </row>
    <row r="23" spans="1:12" ht="30" x14ac:dyDescent="0.25">
      <c r="A23" s="52">
        <v>5.3</v>
      </c>
      <c r="B23" s="28" t="s">
        <v>292</v>
      </c>
      <c r="C23" s="22">
        <v>2021</v>
      </c>
      <c r="D23" s="22" t="s">
        <v>1</v>
      </c>
      <c r="E23" s="27">
        <v>20.9</v>
      </c>
      <c r="F23" s="33">
        <v>2220</v>
      </c>
      <c r="G23" s="27">
        <v>18.61</v>
      </c>
      <c r="H23" s="33" t="s">
        <v>191</v>
      </c>
      <c r="I23" s="59">
        <f t="shared" si="1"/>
        <v>89.043062200956939</v>
      </c>
      <c r="J23" s="41"/>
      <c r="K23" s="23">
        <v>0</v>
      </c>
      <c r="L23" s="66"/>
    </row>
    <row r="24" spans="1:12" ht="30" x14ac:dyDescent="0.25">
      <c r="A24" s="52">
        <v>5.4</v>
      </c>
      <c r="B24" s="28" t="s">
        <v>293</v>
      </c>
      <c r="C24" s="22">
        <v>2022</v>
      </c>
      <c r="D24" s="22" t="s">
        <v>1</v>
      </c>
      <c r="E24" s="27">
        <v>28.3</v>
      </c>
      <c r="F24" s="33">
        <v>2220</v>
      </c>
      <c r="G24" s="27">
        <v>27.24</v>
      </c>
      <c r="H24" s="33" t="s">
        <v>294</v>
      </c>
      <c r="I24" s="59">
        <f t="shared" si="1"/>
        <v>96.25441696113073</v>
      </c>
      <c r="J24" s="41"/>
      <c r="K24" s="23">
        <v>0</v>
      </c>
      <c r="L24" s="66"/>
    </row>
    <row r="25" spans="1:12" ht="30" x14ac:dyDescent="0.25">
      <c r="A25" s="52">
        <v>5.5</v>
      </c>
      <c r="B25" s="28" t="s">
        <v>295</v>
      </c>
      <c r="C25" s="22">
        <v>2022</v>
      </c>
      <c r="D25" s="22" t="s">
        <v>1</v>
      </c>
      <c r="E25" s="27">
        <v>7.4</v>
      </c>
      <c r="F25" s="33">
        <v>2220</v>
      </c>
      <c r="G25" s="27">
        <v>4.91</v>
      </c>
      <c r="H25" s="33" t="s">
        <v>219</v>
      </c>
      <c r="I25" s="59">
        <f t="shared" si="1"/>
        <v>66.351351351351354</v>
      </c>
      <c r="J25" s="41"/>
      <c r="K25" s="23">
        <v>0</v>
      </c>
      <c r="L25" s="66"/>
    </row>
    <row r="26" spans="1:12" x14ac:dyDescent="0.25">
      <c r="A26" s="34">
        <v>6</v>
      </c>
      <c r="B26" s="31" t="s">
        <v>9</v>
      </c>
      <c r="C26" s="22"/>
      <c r="D26" s="22"/>
      <c r="E26" s="26">
        <f>SUM(E27:E29)</f>
        <v>35.620000000000005</v>
      </c>
      <c r="F26" s="33"/>
      <c r="G26" s="26">
        <f>SUM(G27:G29)</f>
        <v>33.340000000000003</v>
      </c>
      <c r="H26" s="33"/>
      <c r="I26" s="56">
        <f t="shared" si="1"/>
        <v>93.599101628298712</v>
      </c>
      <c r="J26" s="41"/>
      <c r="L26" s="66"/>
    </row>
    <row r="27" spans="1:12" ht="30" x14ac:dyDescent="0.25">
      <c r="A27" s="52">
        <v>6.1</v>
      </c>
      <c r="B27" s="28" t="s">
        <v>296</v>
      </c>
      <c r="C27" s="22">
        <v>2020</v>
      </c>
      <c r="D27" s="22" t="s">
        <v>1</v>
      </c>
      <c r="E27" s="27">
        <v>9.08</v>
      </c>
      <c r="F27" s="33">
        <v>2220</v>
      </c>
      <c r="G27" s="27">
        <v>7.95</v>
      </c>
      <c r="H27" s="33" t="s">
        <v>297</v>
      </c>
      <c r="I27" s="59">
        <f t="shared" si="1"/>
        <v>87.555066079295159</v>
      </c>
      <c r="J27" s="41"/>
      <c r="K27" s="23">
        <v>0</v>
      </c>
      <c r="L27" s="66"/>
    </row>
    <row r="28" spans="1:12" ht="30" x14ac:dyDescent="0.25">
      <c r="A28" s="52">
        <v>6.2</v>
      </c>
      <c r="B28" s="28" t="s">
        <v>298</v>
      </c>
      <c r="C28" s="22">
        <v>2021</v>
      </c>
      <c r="D28" s="22" t="s">
        <v>1</v>
      </c>
      <c r="E28" s="27">
        <v>9.0500000000000007</v>
      </c>
      <c r="F28" s="33">
        <v>2220</v>
      </c>
      <c r="G28" s="27">
        <v>8.42</v>
      </c>
      <c r="H28" s="33" t="s">
        <v>299</v>
      </c>
      <c r="I28" s="59">
        <f t="shared" si="1"/>
        <v>93.038674033149164</v>
      </c>
      <c r="J28" s="41"/>
      <c r="K28" s="23">
        <v>0</v>
      </c>
      <c r="L28" s="66"/>
    </row>
    <row r="29" spans="1:12" ht="30" x14ac:dyDescent="0.25">
      <c r="A29" s="52">
        <v>6.3</v>
      </c>
      <c r="B29" s="28" t="s">
        <v>300</v>
      </c>
      <c r="C29" s="22">
        <v>2022</v>
      </c>
      <c r="D29" s="22" t="s">
        <v>1</v>
      </c>
      <c r="E29" s="27">
        <v>17.489999999999998</v>
      </c>
      <c r="F29" s="33">
        <v>2220</v>
      </c>
      <c r="G29" s="27">
        <v>16.97</v>
      </c>
      <c r="H29" s="33" t="s">
        <v>301</v>
      </c>
      <c r="I29" s="59">
        <f t="shared" si="1"/>
        <v>97.026872498570611</v>
      </c>
      <c r="J29" s="41"/>
      <c r="K29" s="23">
        <v>0</v>
      </c>
      <c r="L29" s="66"/>
    </row>
    <row r="30" spans="1:12" x14ac:dyDescent="0.25">
      <c r="A30" s="34">
        <v>7</v>
      </c>
      <c r="B30" s="31" t="s">
        <v>11</v>
      </c>
      <c r="C30" s="22"/>
      <c r="D30" s="22"/>
      <c r="E30" s="26">
        <f>E31</f>
        <v>49</v>
      </c>
      <c r="F30" s="33"/>
      <c r="G30" s="26">
        <f>G31</f>
        <v>49</v>
      </c>
      <c r="H30" s="33"/>
      <c r="I30" s="56">
        <f t="shared" si="1"/>
        <v>100</v>
      </c>
      <c r="J30" s="41"/>
      <c r="L30" s="66"/>
    </row>
    <row r="31" spans="1:12" ht="30" x14ac:dyDescent="0.25">
      <c r="A31" s="52">
        <v>7.1</v>
      </c>
      <c r="B31" s="28" t="s">
        <v>302</v>
      </c>
      <c r="C31" s="22">
        <v>2019</v>
      </c>
      <c r="D31" s="22" t="s">
        <v>12</v>
      </c>
      <c r="E31" s="27">
        <v>49</v>
      </c>
      <c r="F31" s="22">
        <v>417</v>
      </c>
      <c r="G31" s="27">
        <v>49</v>
      </c>
      <c r="H31" s="19" t="s">
        <v>262</v>
      </c>
      <c r="I31" s="59">
        <f t="shared" si="1"/>
        <v>100</v>
      </c>
      <c r="J31" s="41"/>
      <c r="K31" s="23">
        <v>0</v>
      </c>
      <c r="L31" s="66"/>
    </row>
    <row r="32" spans="1:12" x14ac:dyDescent="0.25">
      <c r="A32" s="50" t="s">
        <v>324</v>
      </c>
      <c r="B32" s="186" t="s">
        <v>323</v>
      </c>
      <c r="C32" s="186"/>
      <c r="D32" s="186"/>
      <c r="E32" s="58">
        <f>E33+E40+E43+E52+E58+E65+E67+E80+E92+E99+E102+E105+E113+E128+E131+E134+E138+E141+E144+E149+E151</f>
        <v>2387.6800000000003</v>
      </c>
      <c r="F32" s="57"/>
      <c r="G32" s="58">
        <f>G33+G40+G43+G52+G58+G65+G67+G80+G92+G99+G102+G105+G113+G128+G131+G134+G138+G141+G144+G149+G151</f>
        <v>2036.9300000000003</v>
      </c>
      <c r="H32" s="50"/>
      <c r="I32" s="56">
        <f t="shared" ref="I32:I95" si="2">G32/E32*100</f>
        <v>85.310008041278564</v>
      </c>
      <c r="J32" s="22"/>
      <c r="K32" s="55"/>
      <c r="L32" s="66"/>
    </row>
    <row r="33" spans="1:12" x14ac:dyDescent="0.25">
      <c r="A33" s="34">
        <v>1</v>
      </c>
      <c r="B33" s="31" t="s">
        <v>16</v>
      </c>
      <c r="C33" s="22"/>
      <c r="D33" s="22"/>
      <c r="E33" s="56">
        <f>SUM(E34:E39)</f>
        <v>311.52</v>
      </c>
      <c r="F33" s="44"/>
      <c r="G33" s="56">
        <f>SUM(G34:G39)</f>
        <v>206.79</v>
      </c>
      <c r="H33" s="22"/>
      <c r="I33" s="56">
        <f t="shared" si="2"/>
        <v>66.380970724191073</v>
      </c>
      <c r="J33" s="22"/>
      <c r="L33" s="66"/>
    </row>
    <row r="34" spans="1:12" ht="30" x14ac:dyDescent="0.25">
      <c r="A34" s="54">
        <v>1.1000000000000001</v>
      </c>
      <c r="B34" s="28" t="s">
        <v>102</v>
      </c>
      <c r="C34" s="19">
        <v>2014</v>
      </c>
      <c r="D34" s="19" t="s">
        <v>1</v>
      </c>
      <c r="E34" s="42">
        <v>5</v>
      </c>
      <c r="F34" s="63">
        <v>2220</v>
      </c>
      <c r="G34" s="42">
        <v>5</v>
      </c>
      <c r="H34" s="63">
        <v>1700</v>
      </c>
      <c r="I34" s="21">
        <f t="shared" si="2"/>
        <v>100</v>
      </c>
      <c r="J34" s="19" t="s">
        <v>268</v>
      </c>
      <c r="K34" s="74">
        <v>2</v>
      </c>
      <c r="L34" s="77">
        <v>0</v>
      </c>
    </row>
    <row r="35" spans="1:12" ht="60" x14ac:dyDescent="0.25">
      <c r="A35" s="54">
        <v>1.2</v>
      </c>
      <c r="B35" s="28" t="s">
        <v>103</v>
      </c>
      <c r="C35" s="19">
        <v>2015</v>
      </c>
      <c r="D35" s="19" t="s">
        <v>1</v>
      </c>
      <c r="E35" s="42">
        <v>39.799999999999997</v>
      </c>
      <c r="F35" s="63">
        <v>2220</v>
      </c>
      <c r="G35" s="42">
        <v>39.799999999999997</v>
      </c>
      <c r="H35" s="63">
        <v>1700</v>
      </c>
      <c r="I35" s="21">
        <f t="shared" si="2"/>
        <v>100</v>
      </c>
      <c r="J35" s="19" t="s">
        <v>269</v>
      </c>
      <c r="K35" s="74">
        <v>2</v>
      </c>
      <c r="L35" s="77">
        <v>0</v>
      </c>
    </row>
    <row r="36" spans="1:12" ht="60" x14ac:dyDescent="0.25">
      <c r="A36" s="54">
        <v>1.3</v>
      </c>
      <c r="B36" s="28" t="s">
        <v>104</v>
      </c>
      <c r="C36" s="19">
        <v>2015</v>
      </c>
      <c r="D36" s="19" t="s">
        <v>1</v>
      </c>
      <c r="E36" s="42">
        <v>40</v>
      </c>
      <c r="F36" s="63">
        <v>2220</v>
      </c>
      <c r="G36" s="42">
        <v>40</v>
      </c>
      <c r="H36" s="63">
        <v>1700</v>
      </c>
      <c r="I36" s="21">
        <f t="shared" si="2"/>
        <v>100</v>
      </c>
      <c r="J36" s="19" t="s">
        <v>269</v>
      </c>
      <c r="K36" s="74">
        <v>2</v>
      </c>
      <c r="L36" s="77">
        <v>0</v>
      </c>
    </row>
    <row r="37" spans="1:12" ht="60" x14ac:dyDescent="0.25">
      <c r="A37" s="54">
        <v>1.4</v>
      </c>
      <c r="B37" s="28" t="s">
        <v>275</v>
      </c>
      <c r="C37" s="19">
        <v>2016</v>
      </c>
      <c r="D37" s="19" t="s">
        <v>1</v>
      </c>
      <c r="E37" s="42">
        <v>185.82</v>
      </c>
      <c r="F37" s="63">
        <v>2220</v>
      </c>
      <c r="G37" s="42">
        <v>96.02</v>
      </c>
      <c r="H37" s="63">
        <v>1700</v>
      </c>
      <c r="I37" s="21">
        <f t="shared" si="2"/>
        <v>51.673662684318153</v>
      </c>
      <c r="J37" s="19" t="s">
        <v>266</v>
      </c>
      <c r="K37" s="74">
        <v>2</v>
      </c>
      <c r="L37" s="77">
        <v>0</v>
      </c>
    </row>
    <row r="38" spans="1:12" ht="75" x14ac:dyDescent="0.25">
      <c r="A38" s="54">
        <v>1.5</v>
      </c>
      <c r="B38" s="28" t="s">
        <v>106</v>
      </c>
      <c r="C38" s="19">
        <v>2017</v>
      </c>
      <c r="D38" s="19" t="s">
        <v>1</v>
      </c>
      <c r="E38" s="42">
        <v>22.25</v>
      </c>
      <c r="F38" s="63">
        <v>2220</v>
      </c>
      <c r="G38" s="42">
        <v>9.02</v>
      </c>
      <c r="H38" s="63">
        <v>1700</v>
      </c>
      <c r="I38" s="21">
        <f t="shared" si="2"/>
        <v>40.539325842696627</v>
      </c>
      <c r="J38" s="19" t="s">
        <v>270</v>
      </c>
      <c r="K38" s="74">
        <v>2</v>
      </c>
      <c r="L38" s="77">
        <v>0</v>
      </c>
    </row>
    <row r="39" spans="1:12" ht="30" x14ac:dyDescent="0.25">
      <c r="A39" s="54">
        <v>1.6</v>
      </c>
      <c r="B39" s="28" t="s">
        <v>107</v>
      </c>
      <c r="C39" s="19">
        <v>2019</v>
      </c>
      <c r="D39" s="19" t="s">
        <v>1</v>
      </c>
      <c r="E39" s="42">
        <v>18.649999999999999</v>
      </c>
      <c r="F39" s="63">
        <v>2220</v>
      </c>
      <c r="G39" s="42">
        <v>16.95</v>
      </c>
      <c r="H39" s="63" t="s">
        <v>111</v>
      </c>
      <c r="I39" s="21">
        <f t="shared" si="2"/>
        <v>90.884718498659524</v>
      </c>
      <c r="J39" s="19" t="s">
        <v>265</v>
      </c>
      <c r="K39" s="74">
        <v>2</v>
      </c>
      <c r="L39" s="77">
        <v>0</v>
      </c>
    </row>
    <row r="40" spans="1:12" x14ac:dyDescent="0.25">
      <c r="A40" s="34">
        <v>2</v>
      </c>
      <c r="B40" s="31" t="s">
        <v>6</v>
      </c>
      <c r="C40" s="22"/>
      <c r="D40" s="22"/>
      <c r="E40" s="26">
        <f>SUM(E41:E42)</f>
        <v>34.700000000000003</v>
      </c>
      <c r="F40" s="33"/>
      <c r="G40" s="26">
        <f>SUM(G41:G42)</f>
        <v>32.700000000000003</v>
      </c>
      <c r="H40" s="33"/>
      <c r="I40" s="56">
        <f t="shared" si="2"/>
        <v>94.236311239193085</v>
      </c>
      <c r="J40" s="22"/>
      <c r="L40" s="66"/>
    </row>
    <row r="41" spans="1:12" ht="60" x14ac:dyDescent="0.25">
      <c r="A41" s="52">
        <v>2.1</v>
      </c>
      <c r="B41" s="28" t="s">
        <v>109</v>
      </c>
      <c r="C41" s="22">
        <v>2015</v>
      </c>
      <c r="D41" s="22" t="s">
        <v>1</v>
      </c>
      <c r="E41" s="27">
        <v>15</v>
      </c>
      <c r="F41" s="33">
        <v>2220</v>
      </c>
      <c r="G41" s="27">
        <v>15</v>
      </c>
      <c r="H41" s="33" t="s">
        <v>111</v>
      </c>
      <c r="I41" s="59">
        <f t="shared" si="2"/>
        <v>100</v>
      </c>
      <c r="J41" s="22" t="s">
        <v>125</v>
      </c>
      <c r="K41" s="23">
        <v>1</v>
      </c>
      <c r="L41" s="66">
        <v>1</v>
      </c>
    </row>
    <row r="42" spans="1:12" ht="30" x14ac:dyDescent="0.25">
      <c r="A42" s="52">
        <v>2.2000000000000002</v>
      </c>
      <c r="B42" s="28" t="s">
        <v>108</v>
      </c>
      <c r="C42" s="22">
        <v>2016</v>
      </c>
      <c r="D42" s="22" t="s">
        <v>1</v>
      </c>
      <c r="E42" s="27">
        <v>19.7</v>
      </c>
      <c r="F42" s="33">
        <v>2220</v>
      </c>
      <c r="G42" s="27">
        <v>17.7</v>
      </c>
      <c r="H42" s="63" t="s">
        <v>112</v>
      </c>
      <c r="I42" s="59">
        <f t="shared" si="2"/>
        <v>89.847715736040612</v>
      </c>
      <c r="J42" s="22" t="s">
        <v>125</v>
      </c>
      <c r="L42" s="66">
        <v>1</v>
      </c>
    </row>
    <row r="43" spans="1:12" x14ac:dyDescent="0.25">
      <c r="A43" s="34">
        <v>3</v>
      </c>
      <c r="B43" s="31" t="s">
        <v>13</v>
      </c>
      <c r="C43" s="22"/>
      <c r="D43" s="22"/>
      <c r="E43" s="26">
        <f>SUM(E44:E51)</f>
        <v>182.39000000000004</v>
      </c>
      <c r="F43" s="33"/>
      <c r="G43" s="26">
        <f>SUM(G44:G51)</f>
        <v>144.4</v>
      </c>
      <c r="H43" s="33"/>
      <c r="I43" s="56">
        <f t="shared" si="2"/>
        <v>79.171007182411302</v>
      </c>
      <c r="J43" s="22"/>
      <c r="L43" s="66"/>
    </row>
    <row r="44" spans="1:12" ht="30" x14ac:dyDescent="0.25">
      <c r="A44" s="52">
        <v>3.1</v>
      </c>
      <c r="B44" s="28" t="s">
        <v>110</v>
      </c>
      <c r="C44" s="22">
        <v>2015</v>
      </c>
      <c r="D44" s="22" t="s">
        <v>1</v>
      </c>
      <c r="E44" s="27">
        <v>10</v>
      </c>
      <c r="F44" s="33">
        <v>2220</v>
      </c>
      <c r="G44" s="27">
        <v>8.76</v>
      </c>
      <c r="H44" s="33" t="s">
        <v>113</v>
      </c>
      <c r="I44" s="59">
        <f t="shared" si="2"/>
        <v>87.6</v>
      </c>
      <c r="J44" s="22" t="s">
        <v>125</v>
      </c>
      <c r="K44" s="23">
        <v>1</v>
      </c>
      <c r="L44" s="66">
        <v>0</v>
      </c>
    </row>
    <row r="45" spans="1:12" ht="30" x14ac:dyDescent="0.25">
      <c r="A45" s="52">
        <v>3.2</v>
      </c>
      <c r="B45" s="28" t="s">
        <v>114</v>
      </c>
      <c r="C45" s="22">
        <v>2015</v>
      </c>
      <c r="D45" s="22" t="s">
        <v>1</v>
      </c>
      <c r="E45" s="27">
        <v>15</v>
      </c>
      <c r="F45" s="33">
        <v>2220</v>
      </c>
      <c r="G45" s="27">
        <v>9.5</v>
      </c>
      <c r="H45" s="33" t="s">
        <v>115</v>
      </c>
      <c r="I45" s="59">
        <f t="shared" si="2"/>
        <v>63.333333333333329</v>
      </c>
      <c r="J45" s="22" t="s">
        <v>125</v>
      </c>
      <c r="K45" s="23">
        <v>1</v>
      </c>
      <c r="L45" s="66">
        <v>0</v>
      </c>
    </row>
    <row r="46" spans="1:12" ht="30" x14ac:dyDescent="0.25">
      <c r="A46" s="52">
        <v>3.3</v>
      </c>
      <c r="B46" s="28" t="s">
        <v>116</v>
      </c>
      <c r="C46" s="22">
        <v>2015</v>
      </c>
      <c r="D46" s="22" t="s">
        <v>1</v>
      </c>
      <c r="E46" s="27">
        <v>27.2</v>
      </c>
      <c r="F46" s="33">
        <v>2220</v>
      </c>
      <c r="G46" s="27">
        <v>19.88</v>
      </c>
      <c r="H46" s="33" t="s">
        <v>117</v>
      </c>
      <c r="I46" s="59">
        <f t="shared" si="2"/>
        <v>73.088235294117638</v>
      </c>
      <c r="J46" s="22" t="s">
        <v>125</v>
      </c>
      <c r="K46" s="23">
        <v>1</v>
      </c>
      <c r="L46" s="66">
        <v>0</v>
      </c>
    </row>
    <row r="47" spans="1:12" ht="30" x14ac:dyDescent="0.25">
      <c r="A47" s="52">
        <v>3.4</v>
      </c>
      <c r="B47" s="28" t="s">
        <v>118</v>
      </c>
      <c r="C47" s="22">
        <v>2016</v>
      </c>
      <c r="D47" s="22" t="s">
        <v>1</v>
      </c>
      <c r="E47" s="27">
        <v>51.22</v>
      </c>
      <c r="F47" s="33">
        <v>2220</v>
      </c>
      <c r="G47" s="27">
        <v>45.59</v>
      </c>
      <c r="H47" s="33" t="s">
        <v>119</v>
      </c>
      <c r="I47" s="59">
        <f t="shared" si="2"/>
        <v>89.008199921905515</v>
      </c>
      <c r="J47" s="22" t="s">
        <v>125</v>
      </c>
      <c r="K47" s="23">
        <v>1</v>
      </c>
      <c r="L47" s="66">
        <v>0</v>
      </c>
    </row>
    <row r="48" spans="1:12" ht="30" x14ac:dyDescent="0.25">
      <c r="A48" s="52">
        <v>3.5</v>
      </c>
      <c r="B48" s="28" t="s">
        <v>120</v>
      </c>
      <c r="C48" s="19">
        <v>2017</v>
      </c>
      <c r="D48" s="19" t="s">
        <v>1</v>
      </c>
      <c r="E48" s="42">
        <v>28.75</v>
      </c>
      <c r="F48" s="63">
        <v>2220</v>
      </c>
      <c r="G48" s="42">
        <v>25.08</v>
      </c>
      <c r="H48" s="63" t="s">
        <v>121</v>
      </c>
      <c r="I48" s="21">
        <f t="shared" si="2"/>
        <v>87.234782608695653</v>
      </c>
      <c r="J48" s="161" t="s">
        <v>270</v>
      </c>
      <c r="K48" s="74">
        <v>2</v>
      </c>
      <c r="L48" s="77">
        <v>0</v>
      </c>
    </row>
    <row r="49" spans="1:12" ht="30" x14ac:dyDescent="0.25">
      <c r="A49" s="52">
        <v>3.6</v>
      </c>
      <c r="B49" s="28" t="s">
        <v>122</v>
      </c>
      <c r="C49" s="19">
        <v>2018</v>
      </c>
      <c r="D49" s="19" t="s">
        <v>1</v>
      </c>
      <c r="E49" s="42">
        <v>6.53</v>
      </c>
      <c r="F49" s="63">
        <v>2220</v>
      </c>
      <c r="G49" s="42">
        <v>4.43</v>
      </c>
      <c r="H49" s="63" t="s">
        <v>123</v>
      </c>
      <c r="I49" s="21">
        <f t="shared" si="2"/>
        <v>67.840735068912707</v>
      </c>
      <c r="J49" s="161" t="s">
        <v>271</v>
      </c>
      <c r="K49" s="74">
        <v>2</v>
      </c>
      <c r="L49" s="77">
        <v>1</v>
      </c>
    </row>
    <row r="50" spans="1:12" ht="30" x14ac:dyDescent="0.25">
      <c r="A50" s="52">
        <v>3.7</v>
      </c>
      <c r="B50" s="28" t="s">
        <v>124</v>
      </c>
      <c r="C50" s="19">
        <v>2018</v>
      </c>
      <c r="D50" s="19" t="s">
        <v>1</v>
      </c>
      <c r="E50" s="42">
        <v>6.33</v>
      </c>
      <c r="F50" s="63">
        <v>2220</v>
      </c>
      <c r="G50" s="42">
        <v>5.98</v>
      </c>
      <c r="H50" s="63" t="s">
        <v>123</v>
      </c>
      <c r="I50" s="21">
        <f t="shared" si="2"/>
        <v>94.470774091627177</v>
      </c>
      <c r="J50" s="19" t="s">
        <v>270</v>
      </c>
      <c r="K50" s="74">
        <v>2</v>
      </c>
      <c r="L50" s="77">
        <v>1</v>
      </c>
    </row>
    <row r="51" spans="1:12" ht="30" x14ac:dyDescent="0.25">
      <c r="A51" s="52">
        <v>3.8</v>
      </c>
      <c r="B51" s="28" t="s">
        <v>126</v>
      </c>
      <c r="C51" s="22">
        <v>2019</v>
      </c>
      <c r="D51" s="22" t="s">
        <v>1</v>
      </c>
      <c r="E51" s="27">
        <v>37.36</v>
      </c>
      <c r="F51" s="33">
        <v>2220</v>
      </c>
      <c r="G51" s="27">
        <v>25.18</v>
      </c>
      <c r="H51" s="33" t="s">
        <v>127</v>
      </c>
      <c r="I51" s="59">
        <f t="shared" si="2"/>
        <v>67.398286937901503</v>
      </c>
      <c r="J51" s="22" t="s">
        <v>125</v>
      </c>
      <c r="K51" s="23">
        <v>1</v>
      </c>
      <c r="L51" s="66">
        <v>0</v>
      </c>
    </row>
    <row r="52" spans="1:12" ht="28.5" x14ac:dyDescent="0.25">
      <c r="A52" s="34">
        <v>4</v>
      </c>
      <c r="B52" s="31" t="s">
        <v>92</v>
      </c>
      <c r="C52" s="22"/>
      <c r="D52" s="22"/>
      <c r="E52" s="26">
        <f>SUM(E53:E57)</f>
        <v>119.45</v>
      </c>
      <c r="F52" s="33"/>
      <c r="G52" s="26">
        <f>SUM(G53:G57)</f>
        <v>100.65</v>
      </c>
      <c r="H52" s="33"/>
      <c r="I52" s="56">
        <f t="shared" si="2"/>
        <v>84.261197153620756</v>
      </c>
      <c r="J52" s="22"/>
      <c r="L52" s="66"/>
    </row>
    <row r="53" spans="1:12" ht="45" x14ac:dyDescent="0.25">
      <c r="A53" s="52">
        <v>4.0999999999999996</v>
      </c>
      <c r="B53" s="28" t="s">
        <v>128</v>
      </c>
      <c r="C53" s="19">
        <v>2015</v>
      </c>
      <c r="D53" s="19" t="s">
        <v>1</v>
      </c>
      <c r="E53" s="42">
        <v>30</v>
      </c>
      <c r="F53" s="63">
        <v>2220</v>
      </c>
      <c r="G53" s="42">
        <v>28.25</v>
      </c>
      <c r="H53" s="63" t="s">
        <v>129</v>
      </c>
      <c r="I53" s="21">
        <f t="shared" si="2"/>
        <v>94.166666666666671</v>
      </c>
      <c r="J53" s="19" t="s">
        <v>272</v>
      </c>
      <c r="K53" s="74">
        <v>2</v>
      </c>
      <c r="L53" s="77">
        <v>0</v>
      </c>
    </row>
    <row r="54" spans="1:12" ht="45" x14ac:dyDescent="0.25">
      <c r="A54" s="52">
        <v>4.2</v>
      </c>
      <c r="B54" s="28" t="s">
        <v>130</v>
      </c>
      <c r="C54" s="19">
        <v>2015</v>
      </c>
      <c r="D54" s="19" t="s">
        <v>1</v>
      </c>
      <c r="E54" s="42">
        <v>10</v>
      </c>
      <c r="F54" s="63">
        <v>2220</v>
      </c>
      <c r="G54" s="42">
        <v>9.31</v>
      </c>
      <c r="H54" s="63" t="s">
        <v>131</v>
      </c>
      <c r="I54" s="21">
        <f t="shared" si="2"/>
        <v>93.100000000000009</v>
      </c>
      <c r="J54" s="19" t="s">
        <v>272</v>
      </c>
      <c r="K54" s="74">
        <v>2</v>
      </c>
      <c r="L54" s="77">
        <v>0</v>
      </c>
    </row>
    <row r="55" spans="1:12" ht="30" x14ac:dyDescent="0.25">
      <c r="A55" s="52">
        <v>4.3</v>
      </c>
      <c r="B55" s="28" t="s">
        <v>132</v>
      </c>
      <c r="C55" s="19">
        <v>2016</v>
      </c>
      <c r="D55" s="19" t="s">
        <v>1</v>
      </c>
      <c r="E55" s="42">
        <v>59.5</v>
      </c>
      <c r="F55" s="63">
        <v>2220</v>
      </c>
      <c r="G55" s="42">
        <v>46.62</v>
      </c>
      <c r="H55" s="63" t="s">
        <v>133</v>
      </c>
      <c r="I55" s="21">
        <f t="shared" si="2"/>
        <v>78.35294117647058</v>
      </c>
      <c r="J55" s="19" t="s">
        <v>273</v>
      </c>
      <c r="K55" s="74">
        <v>2</v>
      </c>
      <c r="L55" s="77">
        <v>0</v>
      </c>
    </row>
    <row r="56" spans="1:12" ht="30" x14ac:dyDescent="0.25">
      <c r="A56" s="52">
        <v>4.4000000000000004</v>
      </c>
      <c r="B56" s="28" t="s">
        <v>134</v>
      </c>
      <c r="C56" s="19">
        <v>2017</v>
      </c>
      <c r="D56" s="19" t="s">
        <v>1</v>
      </c>
      <c r="E56" s="42">
        <v>10</v>
      </c>
      <c r="F56" s="63">
        <v>2220</v>
      </c>
      <c r="G56" s="42">
        <v>8.77</v>
      </c>
      <c r="H56" s="63" t="s">
        <v>135</v>
      </c>
      <c r="I56" s="21">
        <f t="shared" si="2"/>
        <v>87.7</v>
      </c>
      <c r="J56" s="19" t="s">
        <v>273</v>
      </c>
      <c r="K56" s="74">
        <v>2</v>
      </c>
      <c r="L56" s="77">
        <v>0</v>
      </c>
    </row>
    <row r="57" spans="1:12" ht="30" x14ac:dyDescent="0.25">
      <c r="A57" s="52">
        <v>4.5</v>
      </c>
      <c r="B57" s="28" t="s">
        <v>136</v>
      </c>
      <c r="C57" s="19">
        <v>2018</v>
      </c>
      <c r="D57" s="19" t="s">
        <v>1</v>
      </c>
      <c r="E57" s="42">
        <v>9.9499999999999993</v>
      </c>
      <c r="F57" s="63">
        <v>2220</v>
      </c>
      <c r="G57" s="42">
        <v>7.7</v>
      </c>
      <c r="H57" s="63" t="s">
        <v>129</v>
      </c>
      <c r="I57" s="21">
        <f t="shared" si="2"/>
        <v>77.386934673366838</v>
      </c>
      <c r="J57" s="19" t="s">
        <v>274</v>
      </c>
      <c r="K57" s="74">
        <v>2</v>
      </c>
      <c r="L57" s="77">
        <v>0</v>
      </c>
    </row>
    <row r="58" spans="1:12" x14ac:dyDescent="0.25">
      <c r="A58" s="34">
        <v>5</v>
      </c>
      <c r="B58" s="31" t="s">
        <v>7</v>
      </c>
      <c r="C58" s="22"/>
      <c r="D58" s="22"/>
      <c r="E58" s="26">
        <f>SUM(E59:E64)</f>
        <v>293.03000000000003</v>
      </c>
      <c r="F58" s="33"/>
      <c r="G58" s="26">
        <f>SUM(G59:G64)</f>
        <v>234.42000000000002</v>
      </c>
      <c r="H58" s="33"/>
      <c r="I58" s="56">
        <f t="shared" si="2"/>
        <v>79.998634952052683</v>
      </c>
      <c r="J58" s="22"/>
      <c r="L58" s="66"/>
    </row>
    <row r="59" spans="1:12" ht="30" x14ac:dyDescent="0.25">
      <c r="A59" s="52">
        <v>5.0999999999999996</v>
      </c>
      <c r="B59" s="28" t="s">
        <v>137</v>
      </c>
      <c r="C59" s="19">
        <v>2015</v>
      </c>
      <c r="D59" s="19" t="s">
        <v>1</v>
      </c>
      <c r="E59" s="42">
        <v>20</v>
      </c>
      <c r="F59" s="63">
        <v>2220</v>
      </c>
      <c r="G59" s="42">
        <v>6.2</v>
      </c>
      <c r="H59" s="63">
        <v>1900</v>
      </c>
      <c r="I59" s="21">
        <f t="shared" si="2"/>
        <v>31</v>
      </c>
      <c r="J59" s="19" t="s">
        <v>270</v>
      </c>
      <c r="K59" s="74">
        <v>2</v>
      </c>
      <c r="L59" s="77">
        <v>2</v>
      </c>
    </row>
    <row r="60" spans="1:12" ht="30" x14ac:dyDescent="0.25">
      <c r="A60" s="52">
        <v>5.2</v>
      </c>
      <c r="B60" s="28" t="s">
        <v>138</v>
      </c>
      <c r="C60" s="19">
        <v>2016</v>
      </c>
      <c r="D60" s="19" t="s">
        <v>1</v>
      </c>
      <c r="E60" s="42">
        <v>70</v>
      </c>
      <c r="F60" s="63">
        <v>2220</v>
      </c>
      <c r="G60" s="42">
        <v>59.2</v>
      </c>
      <c r="H60" s="63" t="s">
        <v>139</v>
      </c>
      <c r="I60" s="21">
        <f t="shared" si="2"/>
        <v>84.571428571428569</v>
      </c>
      <c r="J60" s="19" t="s">
        <v>270</v>
      </c>
      <c r="K60" s="74">
        <v>2</v>
      </c>
      <c r="L60" s="77">
        <v>1</v>
      </c>
    </row>
    <row r="61" spans="1:12" ht="30" x14ac:dyDescent="0.25">
      <c r="A61" s="52">
        <v>5.3</v>
      </c>
      <c r="B61" s="28" t="s">
        <v>140</v>
      </c>
      <c r="C61" s="19">
        <v>2016</v>
      </c>
      <c r="D61" s="19" t="s">
        <v>1</v>
      </c>
      <c r="E61" s="42">
        <v>30</v>
      </c>
      <c r="F61" s="63">
        <v>2220</v>
      </c>
      <c r="G61" s="42">
        <v>25.7</v>
      </c>
      <c r="H61" s="63" t="s">
        <v>139</v>
      </c>
      <c r="I61" s="21">
        <f t="shared" si="2"/>
        <v>85.666666666666671</v>
      </c>
      <c r="J61" s="19" t="s">
        <v>270</v>
      </c>
      <c r="K61" s="74">
        <v>2</v>
      </c>
      <c r="L61" s="77">
        <v>1</v>
      </c>
    </row>
    <row r="62" spans="1:12" ht="30" x14ac:dyDescent="0.25">
      <c r="A62" s="52">
        <v>5.4</v>
      </c>
      <c r="B62" s="28" t="s">
        <v>141</v>
      </c>
      <c r="C62" s="19">
        <v>2017</v>
      </c>
      <c r="D62" s="19" t="s">
        <v>1</v>
      </c>
      <c r="E62" s="42">
        <v>100</v>
      </c>
      <c r="F62" s="63">
        <v>2220</v>
      </c>
      <c r="G62" s="42">
        <v>91.23</v>
      </c>
      <c r="H62" s="63" t="s">
        <v>142</v>
      </c>
      <c r="I62" s="21">
        <f t="shared" si="2"/>
        <v>91.23</v>
      </c>
      <c r="J62" s="19" t="s">
        <v>270</v>
      </c>
      <c r="K62" s="74">
        <v>2</v>
      </c>
      <c r="L62" s="77">
        <v>1</v>
      </c>
    </row>
    <row r="63" spans="1:12" ht="30" x14ac:dyDescent="0.25">
      <c r="A63" s="52">
        <v>5.5</v>
      </c>
      <c r="B63" s="28" t="s">
        <v>143</v>
      </c>
      <c r="C63" s="22">
        <v>2018</v>
      </c>
      <c r="D63" s="22" t="s">
        <v>1</v>
      </c>
      <c r="E63" s="27">
        <v>61.24</v>
      </c>
      <c r="F63" s="33">
        <v>2220</v>
      </c>
      <c r="G63" s="27">
        <v>45.45</v>
      </c>
      <c r="H63" s="33" t="s">
        <v>144</v>
      </c>
      <c r="I63" s="59">
        <f t="shared" si="2"/>
        <v>74.216198563030702</v>
      </c>
      <c r="J63" s="22" t="s">
        <v>125</v>
      </c>
      <c r="K63" s="23">
        <v>1</v>
      </c>
      <c r="L63" s="66">
        <v>0</v>
      </c>
    </row>
    <row r="64" spans="1:12" ht="30" x14ac:dyDescent="0.25">
      <c r="A64" s="52">
        <v>5.6</v>
      </c>
      <c r="B64" s="28" t="s">
        <v>145</v>
      </c>
      <c r="C64" s="22">
        <v>2019</v>
      </c>
      <c r="D64" s="22" t="s">
        <v>1</v>
      </c>
      <c r="E64" s="27">
        <v>11.79</v>
      </c>
      <c r="F64" s="33">
        <v>2220</v>
      </c>
      <c r="G64" s="27">
        <v>6.64</v>
      </c>
      <c r="H64" s="33" t="s">
        <v>146</v>
      </c>
      <c r="I64" s="59">
        <f t="shared" si="2"/>
        <v>56.318914334181514</v>
      </c>
      <c r="J64" s="22" t="s">
        <v>125</v>
      </c>
      <c r="K64" s="23">
        <v>1</v>
      </c>
      <c r="L64" s="66">
        <v>0</v>
      </c>
    </row>
    <row r="65" spans="1:12" ht="28.5" x14ac:dyDescent="0.25">
      <c r="A65" s="34">
        <v>6</v>
      </c>
      <c r="B65" s="31" t="s">
        <v>93</v>
      </c>
      <c r="C65" s="22"/>
      <c r="D65" s="22"/>
      <c r="E65" s="26">
        <f>E66</f>
        <v>2.5</v>
      </c>
      <c r="F65" s="33"/>
      <c r="G65" s="26">
        <f>G66</f>
        <v>2.35</v>
      </c>
      <c r="H65" s="33"/>
      <c r="I65" s="56">
        <f t="shared" si="2"/>
        <v>94</v>
      </c>
      <c r="J65" s="22"/>
      <c r="L65" s="66"/>
    </row>
    <row r="66" spans="1:12" ht="45" x14ac:dyDescent="0.25">
      <c r="A66" s="52">
        <v>6.1</v>
      </c>
      <c r="B66" s="28" t="s">
        <v>147</v>
      </c>
      <c r="C66" s="22">
        <v>2015</v>
      </c>
      <c r="D66" s="22" t="s">
        <v>1</v>
      </c>
      <c r="E66" s="27">
        <v>2.5</v>
      </c>
      <c r="F66" s="33">
        <v>2220</v>
      </c>
      <c r="G66" s="27">
        <v>2.35</v>
      </c>
      <c r="H66" s="33">
        <v>2087</v>
      </c>
      <c r="I66" s="59">
        <f>G66/E66*100</f>
        <v>94</v>
      </c>
      <c r="J66" s="22" t="s">
        <v>125</v>
      </c>
      <c r="K66" s="23">
        <v>1</v>
      </c>
      <c r="L66" s="66">
        <v>0</v>
      </c>
    </row>
    <row r="67" spans="1:12" x14ac:dyDescent="0.25">
      <c r="A67" s="34">
        <v>7</v>
      </c>
      <c r="B67" s="31" t="s">
        <v>95</v>
      </c>
      <c r="C67" s="22"/>
      <c r="D67" s="22"/>
      <c r="E67" s="26">
        <f>SUM(E68:E79)</f>
        <v>140.38</v>
      </c>
      <c r="F67" s="33"/>
      <c r="G67" s="26">
        <f>SUM(G68:G79)</f>
        <v>104.21000000000001</v>
      </c>
      <c r="H67" s="33"/>
      <c r="I67" s="56">
        <f t="shared" si="2"/>
        <v>74.234221399059706</v>
      </c>
      <c r="J67" s="22"/>
      <c r="L67" s="66"/>
    </row>
    <row r="68" spans="1:12" ht="30" x14ac:dyDescent="0.25">
      <c r="A68" s="52">
        <v>7.1</v>
      </c>
      <c r="B68" s="28" t="s">
        <v>148</v>
      </c>
      <c r="C68" s="22">
        <v>2014</v>
      </c>
      <c r="D68" s="22" t="s">
        <v>1</v>
      </c>
      <c r="E68" s="27">
        <v>20</v>
      </c>
      <c r="F68" s="33">
        <v>2220</v>
      </c>
      <c r="G68" s="27">
        <v>17.64</v>
      </c>
      <c r="H68" s="33" t="s">
        <v>149</v>
      </c>
      <c r="I68" s="59">
        <f t="shared" si="2"/>
        <v>88.2</v>
      </c>
      <c r="J68" s="22" t="s">
        <v>125</v>
      </c>
      <c r="K68" s="23">
        <v>1</v>
      </c>
      <c r="L68" s="66">
        <v>0</v>
      </c>
    </row>
    <row r="69" spans="1:12" ht="30" x14ac:dyDescent="0.25">
      <c r="A69" s="52">
        <v>7.2</v>
      </c>
      <c r="B69" s="28" t="s">
        <v>150</v>
      </c>
      <c r="C69" s="22">
        <v>2015</v>
      </c>
      <c r="D69" s="22" t="s">
        <v>1</v>
      </c>
      <c r="E69" s="27">
        <v>15</v>
      </c>
      <c r="F69" s="33">
        <v>2220</v>
      </c>
      <c r="G69" s="27">
        <v>15</v>
      </c>
      <c r="H69" s="33">
        <v>1890</v>
      </c>
      <c r="I69" s="59">
        <f t="shared" si="2"/>
        <v>100</v>
      </c>
      <c r="J69" s="22" t="s">
        <v>125</v>
      </c>
      <c r="K69" s="23">
        <v>1</v>
      </c>
      <c r="L69" s="66">
        <v>0</v>
      </c>
    </row>
    <row r="70" spans="1:12" ht="30" x14ac:dyDescent="0.25">
      <c r="A70" s="52">
        <v>7.3</v>
      </c>
      <c r="B70" s="28" t="s">
        <v>151</v>
      </c>
      <c r="C70" s="22">
        <v>2015</v>
      </c>
      <c r="D70" s="22" t="s">
        <v>1</v>
      </c>
      <c r="E70" s="27">
        <v>10</v>
      </c>
      <c r="F70" s="33">
        <v>2220</v>
      </c>
      <c r="G70" s="27">
        <v>9.6</v>
      </c>
      <c r="H70" s="33">
        <v>1890</v>
      </c>
      <c r="I70" s="59">
        <f t="shared" si="2"/>
        <v>96</v>
      </c>
      <c r="J70" s="22" t="s">
        <v>125</v>
      </c>
      <c r="K70" s="23">
        <v>1</v>
      </c>
      <c r="L70" s="66">
        <v>0</v>
      </c>
    </row>
    <row r="71" spans="1:12" ht="30" x14ac:dyDescent="0.25">
      <c r="A71" s="52">
        <v>7.4</v>
      </c>
      <c r="B71" s="28" t="s">
        <v>152</v>
      </c>
      <c r="C71" s="22">
        <v>2015</v>
      </c>
      <c r="D71" s="22" t="s">
        <v>1</v>
      </c>
      <c r="E71" s="27">
        <v>14</v>
      </c>
      <c r="F71" s="33">
        <v>2220</v>
      </c>
      <c r="G71" s="27">
        <v>12.98</v>
      </c>
      <c r="H71" s="33">
        <v>1890</v>
      </c>
      <c r="I71" s="59">
        <f t="shared" si="2"/>
        <v>92.714285714285722</v>
      </c>
      <c r="J71" s="22" t="s">
        <v>125</v>
      </c>
      <c r="K71" s="23">
        <v>1</v>
      </c>
      <c r="L71" s="66">
        <v>0</v>
      </c>
    </row>
    <row r="72" spans="1:12" ht="30" x14ac:dyDescent="0.25">
      <c r="A72" s="52">
        <v>7.5</v>
      </c>
      <c r="B72" s="28" t="s">
        <v>153</v>
      </c>
      <c r="C72" s="22">
        <v>2015</v>
      </c>
      <c r="D72" s="22" t="s">
        <v>1</v>
      </c>
      <c r="E72" s="27">
        <v>25</v>
      </c>
      <c r="F72" s="33">
        <v>2220</v>
      </c>
      <c r="G72" s="27">
        <v>22.61</v>
      </c>
      <c r="H72" s="33">
        <v>1890</v>
      </c>
      <c r="I72" s="59">
        <f t="shared" si="2"/>
        <v>90.44</v>
      </c>
      <c r="J72" s="22" t="s">
        <v>125</v>
      </c>
      <c r="K72" s="23">
        <v>1</v>
      </c>
      <c r="L72" s="66">
        <v>0</v>
      </c>
    </row>
    <row r="73" spans="1:12" ht="30" x14ac:dyDescent="0.25">
      <c r="A73" s="52">
        <v>7.6</v>
      </c>
      <c r="B73" s="28" t="s">
        <v>154</v>
      </c>
      <c r="C73" s="22">
        <v>2015</v>
      </c>
      <c r="D73" s="22" t="s">
        <v>1</v>
      </c>
      <c r="E73" s="27">
        <v>10</v>
      </c>
      <c r="F73" s="33">
        <v>2220</v>
      </c>
      <c r="G73" s="27">
        <v>7.4</v>
      </c>
      <c r="H73" s="33">
        <v>1890</v>
      </c>
      <c r="I73" s="59">
        <f t="shared" si="2"/>
        <v>74</v>
      </c>
      <c r="J73" s="22" t="s">
        <v>125</v>
      </c>
      <c r="K73" s="23">
        <v>1</v>
      </c>
      <c r="L73" s="66">
        <v>0</v>
      </c>
    </row>
    <row r="74" spans="1:12" ht="30" x14ac:dyDescent="0.25">
      <c r="A74" s="52">
        <v>7.7</v>
      </c>
      <c r="B74" s="28" t="s">
        <v>155</v>
      </c>
      <c r="C74" s="22">
        <v>2015</v>
      </c>
      <c r="D74" s="22" t="s">
        <v>1</v>
      </c>
      <c r="E74" s="27">
        <v>5.5</v>
      </c>
      <c r="F74" s="33">
        <v>2220</v>
      </c>
      <c r="G74" s="27">
        <v>4.42</v>
      </c>
      <c r="H74" s="33">
        <v>1890</v>
      </c>
      <c r="I74" s="59">
        <f t="shared" si="2"/>
        <v>80.36363636363636</v>
      </c>
      <c r="J74" s="22" t="s">
        <v>125</v>
      </c>
      <c r="K74" s="23">
        <v>1</v>
      </c>
      <c r="L74" s="66">
        <v>0</v>
      </c>
    </row>
    <row r="75" spans="1:12" ht="30" x14ac:dyDescent="0.25">
      <c r="A75" s="52">
        <v>7.8</v>
      </c>
      <c r="B75" s="28" t="s">
        <v>156</v>
      </c>
      <c r="C75" s="22">
        <v>2016</v>
      </c>
      <c r="D75" s="22" t="s">
        <v>1</v>
      </c>
      <c r="E75" s="27">
        <v>7.8</v>
      </c>
      <c r="F75" s="33">
        <v>2220</v>
      </c>
      <c r="G75" s="27">
        <v>4.3899999999999997</v>
      </c>
      <c r="H75" s="33" t="s">
        <v>157</v>
      </c>
      <c r="I75" s="59">
        <f t="shared" si="2"/>
        <v>56.282051282051285</v>
      </c>
      <c r="J75" s="22" t="s">
        <v>125</v>
      </c>
      <c r="K75" s="23">
        <v>1</v>
      </c>
      <c r="L75" s="66">
        <v>0</v>
      </c>
    </row>
    <row r="76" spans="1:12" ht="30" x14ac:dyDescent="0.25">
      <c r="A76" s="52">
        <v>7.9</v>
      </c>
      <c r="B76" s="28" t="s">
        <v>158</v>
      </c>
      <c r="C76" s="22">
        <v>2016</v>
      </c>
      <c r="D76" s="22" t="s">
        <v>1</v>
      </c>
      <c r="E76" s="27">
        <v>8.6999999999999993</v>
      </c>
      <c r="F76" s="33">
        <v>2220</v>
      </c>
      <c r="G76" s="27">
        <v>2.86</v>
      </c>
      <c r="H76" s="33" t="s">
        <v>159</v>
      </c>
      <c r="I76" s="59">
        <f t="shared" si="2"/>
        <v>32.873563218390807</v>
      </c>
      <c r="J76" s="22" t="s">
        <v>125</v>
      </c>
      <c r="K76" s="23">
        <v>1</v>
      </c>
      <c r="L76" s="66">
        <v>0</v>
      </c>
    </row>
    <row r="77" spans="1:12" ht="30" x14ac:dyDescent="0.25">
      <c r="A77" s="53">
        <v>7.1</v>
      </c>
      <c r="B77" s="28" t="s">
        <v>160</v>
      </c>
      <c r="C77" s="22">
        <v>2017</v>
      </c>
      <c r="D77" s="22" t="s">
        <v>1</v>
      </c>
      <c r="E77" s="27">
        <v>6.7</v>
      </c>
      <c r="F77" s="33">
        <v>2220</v>
      </c>
      <c r="G77" s="27">
        <v>0.45</v>
      </c>
      <c r="H77" s="33">
        <v>1900</v>
      </c>
      <c r="I77" s="59">
        <f t="shared" si="2"/>
        <v>6.7164179104477615</v>
      </c>
      <c r="J77" s="22" t="s">
        <v>125</v>
      </c>
      <c r="K77" s="23">
        <v>1</v>
      </c>
      <c r="L77" s="66">
        <v>0</v>
      </c>
    </row>
    <row r="78" spans="1:12" ht="30" x14ac:dyDescent="0.25">
      <c r="A78" s="52">
        <v>7.11</v>
      </c>
      <c r="B78" s="28" t="s">
        <v>161</v>
      </c>
      <c r="C78" s="22">
        <v>2017</v>
      </c>
      <c r="D78" s="22" t="s">
        <v>1</v>
      </c>
      <c r="E78" s="27">
        <v>15</v>
      </c>
      <c r="F78" s="33">
        <v>2220</v>
      </c>
      <c r="G78" s="27">
        <v>4.18</v>
      </c>
      <c r="H78" s="33">
        <v>1900</v>
      </c>
      <c r="I78" s="59">
        <f t="shared" si="2"/>
        <v>27.866666666666667</v>
      </c>
      <c r="J78" s="22" t="s">
        <v>125</v>
      </c>
      <c r="K78" s="23">
        <v>1</v>
      </c>
      <c r="L78" s="66">
        <v>0</v>
      </c>
    </row>
    <row r="79" spans="1:12" ht="30" x14ac:dyDescent="0.25">
      <c r="A79" s="52">
        <v>7.12</v>
      </c>
      <c r="B79" s="28" t="s">
        <v>162</v>
      </c>
      <c r="C79" s="22">
        <v>2019</v>
      </c>
      <c r="D79" s="22" t="s">
        <v>1</v>
      </c>
      <c r="E79" s="27">
        <v>2.68</v>
      </c>
      <c r="F79" s="33">
        <v>2220</v>
      </c>
      <c r="G79" s="27">
        <v>2.68</v>
      </c>
      <c r="H79" s="33" t="s">
        <v>163</v>
      </c>
      <c r="I79" s="59">
        <f t="shared" si="2"/>
        <v>100</v>
      </c>
      <c r="J79" s="22" t="s">
        <v>125</v>
      </c>
      <c r="K79" s="23">
        <v>1</v>
      </c>
      <c r="L79" s="66">
        <v>0</v>
      </c>
    </row>
    <row r="80" spans="1:12" x14ac:dyDescent="0.25">
      <c r="A80" s="34">
        <v>8</v>
      </c>
      <c r="B80" s="31" t="s">
        <v>5</v>
      </c>
      <c r="C80" s="22"/>
      <c r="D80" s="22"/>
      <c r="E80" s="26">
        <f>SUM(E81:E91)</f>
        <v>159.19999999999999</v>
      </c>
      <c r="F80" s="33"/>
      <c r="G80" s="26">
        <f>SUM(G81:G91)</f>
        <v>144.36999999999998</v>
      </c>
      <c r="H80" s="33"/>
      <c r="I80" s="56">
        <f t="shared" si="2"/>
        <v>90.684673366834161</v>
      </c>
      <c r="J80" s="22"/>
      <c r="L80" s="66"/>
    </row>
    <row r="81" spans="1:12" ht="45" x14ac:dyDescent="0.25">
      <c r="A81" s="52">
        <v>8.1</v>
      </c>
      <c r="B81" s="28" t="s">
        <v>164</v>
      </c>
      <c r="C81" s="19">
        <v>2014</v>
      </c>
      <c r="D81" s="19" t="s">
        <v>1</v>
      </c>
      <c r="E81" s="42">
        <v>12</v>
      </c>
      <c r="F81" s="63">
        <v>2220</v>
      </c>
      <c r="G81" s="42">
        <v>12</v>
      </c>
      <c r="H81" s="63" t="s">
        <v>165</v>
      </c>
      <c r="I81" s="21">
        <f t="shared" si="2"/>
        <v>100</v>
      </c>
      <c r="J81" s="19" t="s">
        <v>267</v>
      </c>
      <c r="K81" s="74">
        <v>2</v>
      </c>
      <c r="L81" s="77">
        <v>0</v>
      </c>
    </row>
    <row r="82" spans="1:12" ht="30" x14ac:dyDescent="0.25">
      <c r="A82" s="52">
        <v>8.1999999999999993</v>
      </c>
      <c r="B82" s="28" t="s">
        <v>166</v>
      </c>
      <c r="C82" s="19">
        <v>2015</v>
      </c>
      <c r="D82" s="19" t="s">
        <v>1</v>
      </c>
      <c r="E82" s="42">
        <v>10</v>
      </c>
      <c r="F82" s="63">
        <v>2220</v>
      </c>
      <c r="G82" s="42">
        <v>10</v>
      </c>
      <c r="H82" s="63" t="s">
        <v>167</v>
      </c>
      <c r="I82" s="21">
        <f t="shared" si="2"/>
        <v>100</v>
      </c>
      <c r="J82" s="19" t="s">
        <v>268</v>
      </c>
      <c r="K82" s="74">
        <v>2</v>
      </c>
      <c r="L82" s="77">
        <v>0</v>
      </c>
    </row>
    <row r="83" spans="1:12" ht="30" x14ac:dyDescent="0.25">
      <c r="A83" s="52">
        <v>8.3000000000000007</v>
      </c>
      <c r="B83" s="28" t="s">
        <v>168</v>
      </c>
      <c r="C83" s="19">
        <v>2015</v>
      </c>
      <c r="D83" s="19" t="s">
        <v>1</v>
      </c>
      <c r="E83" s="42">
        <v>11</v>
      </c>
      <c r="F83" s="63">
        <v>2220</v>
      </c>
      <c r="G83" s="42">
        <v>11</v>
      </c>
      <c r="H83" s="63" t="s">
        <v>169</v>
      </c>
      <c r="I83" s="21">
        <f t="shared" si="2"/>
        <v>100</v>
      </c>
      <c r="J83" s="19" t="s">
        <v>268</v>
      </c>
      <c r="K83" s="74">
        <v>2</v>
      </c>
      <c r="L83" s="77">
        <v>0</v>
      </c>
    </row>
    <row r="84" spans="1:12" ht="30" x14ac:dyDescent="0.25">
      <c r="A84" s="52">
        <v>8.4</v>
      </c>
      <c r="B84" s="28" t="s">
        <v>170</v>
      </c>
      <c r="C84" s="19">
        <v>2016</v>
      </c>
      <c r="D84" s="19" t="s">
        <v>1</v>
      </c>
      <c r="E84" s="42">
        <v>1.5</v>
      </c>
      <c r="F84" s="63">
        <v>2220</v>
      </c>
      <c r="G84" s="42">
        <v>1.5</v>
      </c>
      <c r="H84" s="63" t="s">
        <v>171</v>
      </c>
      <c r="I84" s="21">
        <f t="shared" si="2"/>
        <v>100</v>
      </c>
      <c r="J84" s="19" t="s">
        <v>269</v>
      </c>
      <c r="K84" s="74">
        <v>2</v>
      </c>
      <c r="L84" s="77">
        <v>0</v>
      </c>
    </row>
    <row r="85" spans="1:12" ht="30" x14ac:dyDescent="0.25">
      <c r="A85" s="52">
        <v>8.5</v>
      </c>
      <c r="B85" s="28" t="s">
        <v>172</v>
      </c>
      <c r="C85" s="19">
        <v>2016</v>
      </c>
      <c r="D85" s="19" t="s">
        <v>1</v>
      </c>
      <c r="E85" s="42">
        <v>50</v>
      </c>
      <c r="F85" s="63">
        <v>2220</v>
      </c>
      <c r="G85" s="42">
        <v>42.28</v>
      </c>
      <c r="H85" s="63" t="s">
        <v>173</v>
      </c>
      <c r="I85" s="21">
        <f t="shared" si="2"/>
        <v>84.56</v>
      </c>
      <c r="J85" s="19" t="s">
        <v>266</v>
      </c>
      <c r="K85" s="74">
        <v>2</v>
      </c>
      <c r="L85" s="77">
        <v>0</v>
      </c>
    </row>
    <row r="86" spans="1:12" ht="30" x14ac:dyDescent="0.25">
      <c r="A86" s="52">
        <v>8.6</v>
      </c>
      <c r="B86" s="28" t="s">
        <v>174</v>
      </c>
      <c r="C86" s="19">
        <v>2017</v>
      </c>
      <c r="D86" s="19" t="s">
        <v>1</v>
      </c>
      <c r="E86" s="42">
        <v>19</v>
      </c>
      <c r="F86" s="63">
        <v>2220</v>
      </c>
      <c r="G86" s="42">
        <v>17.78</v>
      </c>
      <c r="H86" s="63" t="s">
        <v>142</v>
      </c>
      <c r="I86" s="21">
        <f t="shared" si="2"/>
        <v>93.578947368421055</v>
      </c>
      <c r="J86" s="19" t="s">
        <v>266</v>
      </c>
      <c r="K86" s="74">
        <v>2</v>
      </c>
      <c r="L86" s="77">
        <v>0</v>
      </c>
    </row>
    <row r="87" spans="1:12" ht="30" x14ac:dyDescent="0.25">
      <c r="A87" s="52">
        <v>8.6999999999999993</v>
      </c>
      <c r="B87" s="28" t="s">
        <v>175</v>
      </c>
      <c r="C87" s="19">
        <v>2017</v>
      </c>
      <c r="D87" s="19" t="s">
        <v>1</v>
      </c>
      <c r="E87" s="42">
        <v>6</v>
      </c>
      <c r="F87" s="63">
        <v>2220</v>
      </c>
      <c r="G87" s="42">
        <v>6</v>
      </c>
      <c r="H87" s="63" t="s">
        <v>176</v>
      </c>
      <c r="I87" s="21">
        <f t="shared" si="2"/>
        <v>100</v>
      </c>
      <c r="J87" s="19" t="s">
        <v>266</v>
      </c>
      <c r="K87" s="74">
        <v>2</v>
      </c>
      <c r="L87" s="77">
        <v>0</v>
      </c>
    </row>
    <row r="88" spans="1:12" ht="30" x14ac:dyDescent="0.25">
      <c r="A88" s="52">
        <v>8.8000000000000007</v>
      </c>
      <c r="B88" s="28" t="s">
        <v>177</v>
      </c>
      <c r="C88" s="19">
        <v>2017</v>
      </c>
      <c r="D88" s="19" t="s">
        <v>1</v>
      </c>
      <c r="E88" s="42">
        <v>16.600000000000001</v>
      </c>
      <c r="F88" s="63">
        <v>2220</v>
      </c>
      <c r="G88" s="42">
        <v>15.19</v>
      </c>
      <c r="H88" s="63" t="s">
        <v>176</v>
      </c>
      <c r="I88" s="21">
        <f t="shared" si="2"/>
        <v>91.506024096385531</v>
      </c>
      <c r="J88" s="19" t="s">
        <v>266</v>
      </c>
      <c r="K88" s="74">
        <v>2</v>
      </c>
      <c r="L88" s="77">
        <v>0</v>
      </c>
    </row>
    <row r="89" spans="1:12" ht="30" x14ac:dyDescent="0.25">
      <c r="A89" s="52">
        <v>8.9</v>
      </c>
      <c r="B89" s="28" t="s">
        <v>178</v>
      </c>
      <c r="C89" s="19">
        <v>2018</v>
      </c>
      <c r="D89" s="19" t="s">
        <v>1</v>
      </c>
      <c r="E89" s="42">
        <v>20</v>
      </c>
      <c r="F89" s="63">
        <v>2220</v>
      </c>
      <c r="G89" s="42">
        <v>18.07</v>
      </c>
      <c r="H89" s="63" t="s">
        <v>111</v>
      </c>
      <c r="I89" s="21">
        <f t="shared" si="2"/>
        <v>90.35</v>
      </c>
      <c r="J89" s="19" t="s">
        <v>270</v>
      </c>
      <c r="K89" s="74">
        <v>2</v>
      </c>
      <c r="L89" s="77">
        <v>0</v>
      </c>
    </row>
    <row r="90" spans="1:12" ht="30" x14ac:dyDescent="0.25">
      <c r="A90" s="53">
        <v>8.1</v>
      </c>
      <c r="B90" s="28" t="s">
        <v>179</v>
      </c>
      <c r="C90" s="22">
        <v>2019</v>
      </c>
      <c r="D90" s="22" t="s">
        <v>1</v>
      </c>
      <c r="E90" s="27">
        <v>7.1</v>
      </c>
      <c r="F90" s="33">
        <v>2220</v>
      </c>
      <c r="G90" s="27">
        <v>6.1</v>
      </c>
      <c r="H90" s="33" t="s">
        <v>180</v>
      </c>
      <c r="I90" s="59">
        <f t="shared" si="2"/>
        <v>85.91549295774648</v>
      </c>
      <c r="J90" s="22" t="s">
        <v>125</v>
      </c>
      <c r="K90" s="23">
        <v>1</v>
      </c>
      <c r="L90" s="66">
        <v>0</v>
      </c>
    </row>
    <row r="91" spans="1:12" ht="30" x14ac:dyDescent="0.25">
      <c r="A91" s="52">
        <v>8.11</v>
      </c>
      <c r="B91" s="28" t="s">
        <v>181</v>
      </c>
      <c r="C91" s="22">
        <v>2019</v>
      </c>
      <c r="D91" s="22" t="s">
        <v>1</v>
      </c>
      <c r="E91" s="27">
        <v>6</v>
      </c>
      <c r="F91" s="33">
        <v>2220</v>
      </c>
      <c r="G91" s="27">
        <v>4.45</v>
      </c>
      <c r="H91" s="33" t="s">
        <v>180</v>
      </c>
      <c r="I91" s="59">
        <f t="shared" si="2"/>
        <v>74.166666666666671</v>
      </c>
      <c r="J91" s="22" t="s">
        <v>125</v>
      </c>
      <c r="K91" s="23">
        <v>1</v>
      </c>
      <c r="L91" s="66">
        <v>0</v>
      </c>
    </row>
    <row r="92" spans="1:12" x14ac:dyDescent="0.25">
      <c r="A92" s="34">
        <v>9</v>
      </c>
      <c r="B92" s="31" t="s">
        <v>3</v>
      </c>
      <c r="C92" s="22"/>
      <c r="D92" s="22"/>
      <c r="E92" s="26">
        <f>SUM(E93:E98)</f>
        <v>116.71000000000001</v>
      </c>
      <c r="F92" s="33"/>
      <c r="G92" s="26">
        <f>SUM(G93:G98)</f>
        <v>98.14</v>
      </c>
      <c r="H92" s="33"/>
      <c r="I92" s="56">
        <f t="shared" si="2"/>
        <v>84.088767029389075</v>
      </c>
      <c r="J92" s="22"/>
      <c r="L92" s="66"/>
    </row>
    <row r="93" spans="1:12" ht="60" x14ac:dyDescent="0.25">
      <c r="A93" s="52">
        <v>9.1</v>
      </c>
      <c r="B93" s="28" t="s">
        <v>182</v>
      </c>
      <c r="C93" s="19">
        <v>2014</v>
      </c>
      <c r="D93" s="19" t="s">
        <v>1</v>
      </c>
      <c r="E93" s="42">
        <v>20</v>
      </c>
      <c r="F93" s="63">
        <v>2220</v>
      </c>
      <c r="G93" s="42">
        <v>19.100000000000001</v>
      </c>
      <c r="H93" s="63" t="s">
        <v>183</v>
      </c>
      <c r="I93" s="21">
        <f t="shared" si="2"/>
        <v>95.5</v>
      </c>
      <c r="J93" s="19" t="s">
        <v>268</v>
      </c>
      <c r="K93" s="74">
        <v>2</v>
      </c>
      <c r="L93" s="77">
        <v>1</v>
      </c>
    </row>
    <row r="94" spans="1:12" ht="45" x14ac:dyDescent="0.25">
      <c r="A94" s="52">
        <v>9.1999999999999993</v>
      </c>
      <c r="B94" s="28" t="s">
        <v>184</v>
      </c>
      <c r="C94" s="19">
        <v>2014</v>
      </c>
      <c r="D94" s="19" t="s">
        <v>1</v>
      </c>
      <c r="E94" s="42">
        <v>19</v>
      </c>
      <c r="F94" s="63">
        <v>2220</v>
      </c>
      <c r="G94" s="42">
        <v>15.56</v>
      </c>
      <c r="H94" s="63" t="s">
        <v>185</v>
      </c>
      <c r="I94" s="21">
        <f t="shared" si="2"/>
        <v>81.89473684210526</v>
      </c>
      <c r="J94" s="19" t="s">
        <v>268</v>
      </c>
      <c r="K94" s="74">
        <v>2</v>
      </c>
      <c r="L94" s="77">
        <v>1</v>
      </c>
    </row>
    <row r="95" spans="1:12" ht="30" x14ac:dyDescent="0.25">
      <c r="A95" s="52">
        <v>9.3000000000000007</v>
      </c>
      <c r="B95" s="28" t="s">
        <v>186</v>
      </c>
      <c r="C95" s="19">
        <v>2015</v>
      </c>
      <c r="D95" s="19" t="s">
        <v>1</v>
      </c>
      <c r="E95" s="42">
        <v>10</v>
      </c>
      <c r="F95" s="63">
        <v>2220</v>
      </c>
      <c r="G95" s="42">
        <v>7.01</v>
      </c>
      <c r="H95" s="63" t="s">
        <v>187</v>
      </c>
      <c r="I95" s="21">
        <f t="shared" si="2"/>
        <v>70.099999999999994</v>
      </c>
      <c r="J95" s="19" t="s">
        <v>268</v>
      </c>
      <c r="K95" s="74">
        <v>2</v>
      </c>
      <c r="L95" s="77">
        <v>1</v>
      </c>
    </row>
    <row r="96" spans="1:12" ht="30" x14ac:dyDescent="0.25">
      <c r="A96" s="52">
        <v>9.4</v>
      </c>
      <c r="B96" s="28" t="s">
        <v>188</v>
      </c>
      <c r="C96" s="19">
        <v>2016</v>
      </c>
      <c r="D96" s="19" t="s">
        <v>1</v>
      </c>
      <c r="E96" s="42">
        <v>22</v>
      </c>
      <c r="F96" s="63">
        <v>2220</v>
      </c>
      <c r="G96" s="42">
        <v>13.91</v>
      </c>
      <c r="H96" s="63" t="s">
        <v>189</v>
      </c>
      <c r="I96" s="21">
        <f t="shared" ref="I96:I127" si="3">G96/E96*100</f>
        <v>63.227272727272734</v>
      </c>
      <c r="J96" s="19" t="s">
        <v>269</v>
      </c>
      <c r="K96" s="74">
        <v>2</v>
      </c>
      <c r="L96" s="77">
        <v>1</v>
      </c>
    </row>
    <row r="97" spans="1:12" ht="30" x14ac:dyDescent="0.25">
      <c r="A97" s="52">
        <v>9.5</v>
      </c>
      <c r="B97" s="28" t="s">
        <v>190</v>
      </c>
      <c r="C97" s="19">
        <v>2019</v>
      </c>
      <c r="D97" s="19" t="s">
        <v>1</v>
      </c>
      <c r="E97" s="42">
        <v>27.56</v>
      </c>
      <c r="F97" s="63">
        <v>2220</v>
      </c>
      <c r="G97" s="42">
        <v>27.05</v>
      </c>
      <c r="H97" s="63" t="s">
        <v>191</v>
      </c>
      <c r="I97" s="21">
        <f t="shared" si="3"/>
        <v>98.149492017416549</v>
      </c>
      <c r="J97" s="19" t="s">
        <v>265</v>
      </c>
      <c r="K97" s="74">
        <v>2</v>
      </c>
      <c r="L97" s="77">
        <v>1</v>
      </c>
    </row>
    <row r="98" spans="1:12" ht="30" x14ac:dyDescent="0.25">
      <c r="A98" s="52">
        <v>9.6</v>
      </c>
      <c r="B98" s="28" t="s">
        <v>337</v>
      </c>
      <c r="C98" s="19">
        <v>2019</v>
      </c>
      <c r="D98" s="19" t="s">
        <v>1</v>
      </c>
      <c r="E98" s="42">
        <v>18.149999999999999</v>
      </c>
      <c r="F98" s="63">
        <v>2220</v>
      </c>
      <c r="G98" s="42">
        <v>15.51</v>
      </c>
      <c r="H98" s="63">
        <v>2000</v>
      </c>
      <c r="I98" s="21">
        <f t="shared" si="3"/>
        <v>85.454545454545467</v>
      </c>
      <c r="J98" s="19" t="s">
        <v>265</v>
      </c>
      <c r="K98" s="74">
        <v>2</v>
      </c>
      <c r="L98" s="77">
        <v>1</v>
      </c>
    </row>
    <row r="99" spans="1:12" x14ac:dyDescent="0.25">
      <c r="A99" s="34">
        <v>10</v>
      </c>
      <c r="B99" s="31" t="s">
        <v>10</v>
      </c>
      <c r="C99" s="22"/>
      <c r="D99" s="22"/>
      <c r="E99" s="26">
        <f>SUM(E100:E101)</f>
        <v>63.8</v>
      </c>
      <c r="F99" s="33"/>
      <c r="G99" s="26">
        <f>SUM(G100:G101)</f>
        <v>56.9</v>
      </c>
      <c r="H99" s="33"/>
      <c r="I99" s="56">
        <f t="shared" si="3"/>
        <v>89.18495297805643</v>
      </c>
      <c r="J99" s="22"/>
      <c r="L99" s="66"/>
    </row>
    <row r="100" spans="1:12" ht="30" x14ac:dyDescent="0.25">
      <c r="A100" s="52">
        <v>10.1</v>
      </c>
      <c r="B100" s="28" t="s">
        <v>192</v>
      </c>
      <c r="C100" s="19">
        <v>2015</v>
      </c>
      <c r="D100" s="19" t="s">
        <v>1</v>
      </c>
      <c r="E100" s="42">
        <v>40</v>
      </c>
      <c r="F100" s="63">
        <v>2220</v>
      </c>
      <c r="G100" s="42">
        <v>39</v>
      </c>
      <c r="H100" s="63" t="s">
        <v>111</v>
      </c>
      <c r="I100" s="21">
        <f t="shared" si="3"/>
        <v>97.5</v>
      </c>
      <c r="J100" s="19" t="s">
        <v>266</v>
      </c>
      <c r="K100" s="74">
        <v>2</v>
      </c>
      <c r="L100" s="77">
        <v>2</v>
      </c>
    </row>
    <row r="101" spans="1:12" ht="30" x14ac:dyDescent="0.25">
      <c r="A101" s="52">
        <v>10.199999999999999</v>
      </c>
      <c r="B101" s="28" t="s">
        <v>193</v>
      </c>
      <c r="C101" s="19">
        <v>2017</v>
      </c>
      <c r="D101" s="19" t="s">
        <v>1</v>
      </c>
      <c r="E101" s="42">
        <v>23.8</v>
      </c>
      <c r="F101" s="63">
        <v>2220</v>
      </c>
      <c r="G101" s="42">
        <v>17.899999999999999</v>
      </c>
      <c r="H101" s="63" t="s">
        <v>111</v>
      </c>
      <c r="I101" s="21">
        <f t="shared" si="3"/>
        <v>75.210084033613427</v>
      </c>
      <c r="J101" s="19" t="s">
        <v>270</v>
      </c>
      <c r="K101" s="74">
        <v>2</v>
      </c>
      <c r="L101" s="77">
        <v>2</v>
      </c>
    </row>
    <row r="102" spans="1:12" x14ac:dyDescent="0.25">
      <c r="A102" s="34">
        <v>11</v>
      </c>
      <c r="B102" s="31" t="s">
        <v>94</v>
      </c>
      <c r="C102" s="22"/>
      <c r="D102" s="22"/>
      <c r="E102" s="26">
        <f>SUM(E103:E104)</f>
        <v>9.6999999999999993</v>
      </c>
      <c r="F102" s="33"/>
      <c r="G102" s="26">
        <f>SUM(G103:G104)</f>
        <v>9.6999999999999993</v>
      </c>
      <c r="H102" s="33"/>
      <c r="I102" s="56">
        <f t="shared" si="3"/>
        <v>100</v>
      </c>
      <c r="J102" s="22"/>
      <c r="L102" s="66"/>
    </row>
    <row r="103" spans="1:12" ht="30" x14ac:dyDescent="0.25">
      <c r="A103" s="52">
        <v>11.1</v>
      </c>
      <c r="B103" s="28" t="s">
        <v>194</v>
      </c>
      <c r="C103" s="19">
        <v>2017</v>
      </c>
      <c r="D103" s="19" t="s">
        <v>1</v>
      </c>
      <c r="E103" s="42">
        <v>4.0999999999999996</v>
      </c>
      <c r="F103" s="63">
        <v>2220</v>
      </c>
      <c r="G103" s="42">
        <v>4.0999999999999996</v>
      </c>
      <c r="H103" s="63" t="s">
        <v>195</v>
      </c>
      <c r="I103" s="78">
        <f t="shared" si="3"/>
        <v>100</v>
      </c>
      <c r="J103" s="19" t="s">
        <v>270</v>
      </c>
      <c r="K103" s="74">
        <v>2</v>
      </c>
      <c r="L103" s="77">
        <v>2</v>
      </c>
    </row>
    <row r="104" spans="1:12" ht="30" x14ac:dyDescent="0.25">
      <c r="A104" s="52">
        <v>11.2</v>
      </c>
      <c r="B104" s="28" t="s">
        <v>196</v>
      </c>
      <c r="C104" s="19">
        <v>2018</v>
      </c>
      <c r="D104" s="19" t="s">
        <v>1</v>
      </c>
      <c r="E104" s="42">
        <v>5.6</v>
      </c>
      <c r="F104" s="63">
        <v>2220</v>
      </c>
      <c r="G104" s="42">
        <v>5.6</v>
      </c>
      <c r="H104" s="63" t="s">
        <v>131</v>
      </c>
      <c r="I104" s="78">
        <f t="shared" si="3"/>
        <v>100</v>
      </c>
      <c r="J104" s="19" t="s">
        <v>270</v>
      </c>
      <c r="K104" s="74">
        <v>2</v>
      </c>
      <c r="L104" s="77">
        <v>2</v>
      </c>
    </row>
    <row r="105" spans="1:12" x14ac:dyDescent="0.25">
      <c r="A105" s="34">
        <v>12</v>
      </c>
      <c r="B105" s="31" t="s">
        <v>9</v>
      </c>
      <c r="C105" s="22"/>
      <c r="D105" s="22"/>
      <c r="E105" s="26">
        <f>SUM(E106:E112)</f>
        <v>178.58</v>
      </c>
      <c r="F105" s="33"/>
      <c r="G105" s="26">
        <f>SUM(G106:G112)</f>
        <v>166.09</v>
      </c>
      <c r="H105" s="33"/>
      <c r="I105" s="56">
        <f t="shared" si="3"/>
        <v>93.00593571508567</v>
      </c>
      <c r="J105" s="22"/>
      <c r="L105" s="66"/>
    </row>
    <row r="106" spans="1:12" ht="30" x14ac:dyDescent="0.25">
      <c r="A106" s="52">
        <v>12.1</v>
      </c>
      <c r="B106" s="28" t="s">
        <v>197</v>
      </c>
      <c r="C106" s="22">
        <v>2015</v>
      </c>
      <c r="D106" s="22" t="s">
        <v>1</v>
      </c>
      <c r="E106" s="27">
        <v>20</v>
      </c>
      <c r="F106" s="33">
        <v>2220</v>
      </c>
      <c r="G106" s="27">
        <v>20</v>
      </c>
      <c r="H106" s="33" t="s">
        <v>198</v>
      </c>
      <c r="I106" s="59">
        <f t="shared" si="3"/>
        <v>100</v>
      </c>
      <c r="J106" s="22" t="s">
        <v>125</v>
      </c>
      <c r="K106" s="23">
        <v>1</v>
      </c>
      <c r="L106" s="66">
        <v>1</v>
      </c>
    </row>
    <row r="107" spans="1:12" ht="30" x14ac:dyDescent="0.25">
      <c r="A107" s="52">
        <v>12.2</v>
      </c>
      <c r="B107" s="28" t="s">
        <v>199</v>
      </c>
      <c r="C107" s="22">
        <v>2015</v>
      </c>
      <c r="D107" s="22" t="s">
        <v>1</v>
      </c>
      <c r="E107" s="27">
        <v>20</v>
      </c>
      <c r="F107" s="33">
        <v>2220</v>
      </c>
      <c r="G107" s="27">
        <v>20</v>
      </c>
      <c r="H107" s="33" t="s">
        <v>200</v>
      </c>
      <c r="I107" s="59">
        <f t="shared" si="3"/>
        <v>100</v>
      </c>
      <c r="J107" s="22" t="s">
        <v>125</v>
      </c>
      <c r="K107" s="23">
        <v>1</v>
      </c>
      <c r="L107" s="66">
        <v>1</v>
      </c>
    </row>
    <row r="108" spans="1:12" ht="30" x14ac:dyDescent="0.25">
      <c r="A108" s="52">
        <v>12.3</v>
      </c>
      <c r="B108" s="28" t="s">
        <v>201</v>
      </c>
      <c r="C108" s="22">
        <v>2016</v>
      </c>
      <c r="D108" s="22" t="s">
        <v>1</v>
      </c>
      <c r="E108" s="27">
        <v>20</v>
      </c>
      <c r="F108" s="33">
        <v>2220</v>
      </c>
      <c r="G108" s="27">
        <v>19.5</v>
      </c>
      <c r="H108" s="33" t="s">
        <v>202</v>
      </c>
      <c r="I108" s="56">
        <f t="shared" si="3"/>
        <v>97.5</v>
      </c>
      <c r="J108" s="22" t="s">
        <v>125</v>
      </c>
      <c r="K108" s="23">
        <v>1</v>
      </c>
      <c r="L108" s="66">
        <v>2</v>
      </c>
    </row>
    <row r="109" spans="1:12" ht="30" x14ac:dyDescent="0.25">
      <c r="A109" s="52">
        <v>12.4</v>
      </c>
      <c r="B109" s="28" t="s">
        <v>203</v>
      </c>
      <c r="C109" s="22">
        <v>2016</v>
      </c>
      <c r="D109" s="22" t="s">
        <v>1</v>
      </c>
      <c r="E109" s="27">
        <v>10</v>
      </c>
      <c r="F109" s="33">
        <v>2220</v>
      </c>
      <c r="G109" s="27">
        <v>7.5</v>
      </c>
      <c r="H109" s="33" t="s">
        <v>204</v>
      </c>
      <c r="I109" s="59">
        <f t="shared" si="3"/>
        <v>75</v>
      </c>
      <c r="J109" s="22" t="s">
        <v>125</v>
      </c>
      <c r="K109" s="23">
        <v>1</v>
      </c>
      <c r="L109" s="66">
        <v>2</v>
      </c>
    </row>
    <row r="110" spans="1:12" ht="30" x14ac:dyDescent="0.25">
      <c r="A110" s="52">
        <v>12.5</v>
      </c>
      <c r="B110" s="28" t="s">
        <v>205</v>
      </c>
      <c r="C110" s="19">
        <v>2017</v>
      </c>
      <c r="D110" s="19" t="s">
        <v>1</v>
      </c>
      <c r="E110" s="42">
        <v>75</v>
      </c>
      <c r="F110" s="63">
        <v>2220</v>
      </c>
      <c r="G110" s="42">
        <v>70.63</v>
      </c>
      <c r="H110" s="63" t="s">
        <v>206</v>
      </c>
      <c r="I110" s="21">
        <f t="shared" si="3"/>
        <v>94.173333333333332</v>
      </c>
      <c r="J110" s="161" t="s">
        <v>266</v>
      </c>
      <c r="K110" s="74">
        <v>2</v>
      </c>
      <c r="L110" s="77">
        <v>2</v>
      </c>
    </row>
    <row r="111" spans="1:12" ht="30" x14ac:dyDescent="0.25">
      <c r="A111" s="52">
        <v>12.6</v>
      </c>
      <c r="B111" s="28" t="s">
        <v>207</v>
      </c>
      <c r="C111" s="19">
        <v>2018</v>
      </c>
      <c r="D111" s="19" t="s">
        <v>1</v>
      </c>
      <c r="E111" s="42">
        <v>11.83</v>
      </c>
      <c r="F111" s="63">
        <v>2220</v>
      </c>
      <c r="G111" s="42">
        <v>9.34</v>
      </c>
      <c r="H111" s="63" t="s">
        <v>208</v>
      </c>
      <c r="I111" s="21">
        <f t="shared" si="3"/>
        <v>78.951817413355869</v>
      </c>
      <c r="J111" s="161" t="s">
        <v>270</v>
      </c>
      <c r="K111" s="74">
        <v>2</v>
      </c>
      <c r="L111" s="77">
        <v>2</v>
      </c>
    </row>
    <row r="112" spans="1:12" ht="30" x14ac:dyDescent="0.25">
      <c r="A112" s="52">
        <v>12.7</v>
      </c>
      <c r="B112" s="28" t="s">
        <v>209</v>
      </c>
      <c r="C112" s="19">
        <v>2019</v>
      </c>
      <c r="D112" s="19" t="s">
        <v>1</v>
      </c>
      <c r="E112" s="42">
        <v>21.75</v>
      </c>
      <c r="F112" s="63">
        <v>2220</v>
      </c>
      <c r="G112" s="42">
        <v>19.12</v>
      </c>
      <c r="H112" s="63" t="s">
        <v>111</v>
      </c>
      <c r="I112" s="21">
        <f t="shared" si="3"/>
        <v>87.908045977011497</v>
      </c>
      <c r="J112" s="19" t="s">
        <v>271</v>
      </c>
      <c r="K112" s="74">
        <v>2</v>
      </c>
      <c r="L112" s="77">
        <v>1</v>
      </c>
    </row>
    <row r="113" spans="1:12" x14ac:dyDescent="0.25">
      <c r="A113" s="34">
        <v>13</v>
      </c>
      <c r="B113" s="31" t="s">
        <v>8</v>
      </c>
      <c r="C113" s="22"/>
      <c r="D113" s="22"/>
      <c r="E113" s="26">
        <f>SUM(E114:E127)</f>
        <v>231.44</v>
      </c>
      <c r="F113" s="33"/>
      <c r="G113" s="26">
        <f>SUM(G114:G127)</f>
        <v>210.92999999999998</v>
      </c>
      <c r="H113" s="33"/>
      <c r="I113" s="56">
        <f t="shared" si="3"/>
        <v>91.138091946076727</v>
      </c>
      <c r="J113" s="22"/>
      <c r="L113" s="66"/>
    </row>
    <row r="114" spans="1:12" ht="30" x14ac:dyDescent="0.25">
      <c r="A114" s="52">
        <v>13.1</v>
      </c>
      <c r="B114" s="28" t="s">
        <v>210</v>
      </c>
      <c r="C114" s="19">
        <v>2014</v>
      </c>
      <c r="D114" s="19" t="s">
        <v>1</v>
      </c>
      <c r="E114" s="42">
        <v>10</v>
      </c>
      <c r="F114" s="63">
        <v>2220</v>
      </c>
      <c r="G114" s="42">
        <v>10</v>
      </c>
      <c r="H114" s="63">
        <v>2000</v>
      </c>
      <c r="I114" s="21">
        <f t="shared" si="3"/>
        <v>100</v>
      </c>
      <c r="J114" s="19" t="s">
        <v>268</v>
      </c>
      <c r="K114" s="74">
        <v>2</v>
      </c>
      <c r="L114" s="77">
        <v>0</v>
      </c>
    </row>
    <row r="115" spans="1:12" ht="30" x14ac:dyDescent="0.25">
      <c r="A115" s="52">
        <v>13.2</v>
      </c>
      <c r="B115" s="28" t="s">
        <v>211</v>
      </c>
      <c r="C115" s="19">
        <v>2014</v>
      </c>
      <c r="D115" s="19" t="s">
        <v>1</v>
      </c>
      <c r="E115" s="42">
        <v>9.24</v>
      </c>
      <c r="F115" s="63">
        <v>2220</v>
      </c>
      <c r="G115" s="42">
        <v>9.24</v>
      </c>
      <c r="H115" s="63">
        <v>2000</v>
      </c>
      <c r="I115" s="21">
        <f t="shared" si="3"/>
        <v>100</v>
      </c>
      <c r="J115" s="19" t="s">
        <v>268</v>
      </c>
      <c r="K115" s="74">
        <v>2</v>
      </c>
      <c r="L115" s="77">
        <v>0</v>
      </c>
    </row>
    <row r="116" spans="1:12" ht="30" x14ac:dyDescent="0.25">
      <c r="A116" s="52">
        <v>13.3</v>
      </c>
      <c r="B116" s="28" t="s">
        <v>212</v>
      </c>
      <c r="C116" s="19">
        <v>2015</v>
      </c>
      <c r="D116" s="19" t="s">
        <v>1</v>
      </c>
      <c r="E116" s="42">
        <v>10</v>
      </c>
      <c r="F116" s="63">
        <v>2220</v>
      </c>
      <c r="G116" s="42">
        <v>10</v>
      </c>
      <c r="H116" s="63">
        <v>1950</v>
      </c>
      <c r="I116" s="21">
        <f t="shared" si="3"/>
        <v>100</v>
      </c>
      <c r="J116" s="19" t="s">
        <v>269</v>
      </c>
      <c r="K116" s="74">
        <v>2</v>
      </c>
      <c r="L116" s="77">
        <v>0</v>
      </c>
    </row>
    <row r="117" spans="1:12" ht="30" x14ac:dyDescent="0.25">
      <c r="A117" s="52">
        <v>13.4</v>
      </c>
      <c r="B117" s="28" t="s">
        <v>213</v>
      </c>
      <c r="C117" s="19">
        <v>2015</v>
      </c>
      <c r="D117" s="19" t="s">
        <v>1</v>
      </c>
      <c r="E117" s="42">
        <v>50</v>
      </c>
      <c r="F117" s="63">
        <v>2220</v>
      </c>
      <c r="G117" s="42">
        <v>48.6</v>
      </c>
      <c r="H117" s="63">
        <v>1750</v>
      </c>
      <c r="I117" s="21">
        <f t="shared" si="3"/>
        <v>97.2</v>
      </c>
      <c r="J117" s="19" t="s">
        <v>268</v>
      </c>
      <c r="K117" s="74">
        <v>2</v>
      </c>
      <c r="L117" s="77">
        <v>0</v>
      </c>
    </row>
    <row r="118" spans="1:12" ht="30" x14ac:dyDescent="0.25">
      <c r="A118" s="52">
        <v>13.5</v>
      </c>
      <c r="B118" s="28" t="s">
        <v>214</v>
      </c>
      <c r="C118" s="19">
        <v>2015</v>
      </c>
      <c r="D118" s="19" t="s">
        <v>1</v>
      </c>
      <c r="E118" s="42">
        <v>5</v>
      </c>
      <c r="F118" s="63">
        <v>2220</v>
      </c>
      <c r="G118" s="42">
        <v>5</v>
      </c>
      <c r="H118" s="63">
        <v>1950</v>
      </c>
      <c r="I118" s="21">
        <f t="shared" si="3"/>
        <v>100</v>
      </c>
      <c r="J118" s="19" t="s">
        <v>269</v>
      </c>
      <c r="K118" s="74">
        <v>2</v>
      </c>
      <c r="L118" s="77">
        <v>0</v>
      </c>
    </row>
    <row r="119" spans="1:12" ht="45" x14ac:dyDescent="0.25">
      <c r="A119" s="52">
        <v>13.6</v>
      </c>
      <c r="B119" s="28" t="s">
        <v>215</v>
      </c>
      <c r="C119" s="19">
        <v>2015</v>
      </c>
      <c r="D119" s="19" t="s">
        <v>1</v>
      </c>
      <c r="E119" s="42">
        <v>10.5</v>
      </c>
      <c r="F119" s="63">
        <v>2220</v>
      </c>
      <c r="G119" s="42">
        <v>6.64</v>
      </c>
      <c r="H119" s="63" t="s">
        <v>216</v>
      </c>
      <c r="I119" s="21">
        <f t="shared" si="3"/>
        <v>63.238095238095241</v>
      </c>
      <c r="J119" s="19" t="s">
        <v>269</v>
      </c>
      <c r="K119" s="74">
        <v>2</v>
      </c>
      <c r="L119" s="77">
        <v>0</v>
      </c>
    </row>
    <row r="120" spans="1:12" ht="30" x14ac:dyDescent="0.25">
      <c r="A120" s="52">
        <v>13.7</v>
      </c>
      <c r="B120" s="28" t="s">
        <v>217</v>
      </c>
      <c r="C120" s="19">
        <v>2015</v>
      </c>
      <c r="D120" s="19" t="s">
        <v>1</v>
      </c>
      <c r="E120" s="42">
        <v>10</v>
      </c>
      <c r="F120" s="63">
        <v>2220</v>
      </c>
      <c r="G120" s="42">
        <v>10</v>
      </c>
      <c r="H120" s="63">
        <v>2000</v>
      </c>
      <c r="I120" s="21">
        <f t="shared" si="3"/>
        <v>100</v>
      </c>
      <c r="J120" s="19" t="s">
        <v>268</v>
      </c>
      <c r="K120" s="74">
        <v>2</v>
      </c>
      <c r="L120" s="77">
        <v>0</v>
      </c>
    </row>
    <row r="121" spans="1:12" ht="30" x14ac:dyDescent="0.25">
      <c r="A121" s="52">
        <v>13.8</v>
      </c>
      <c r="B121" s="28" t="s">
        <v>218</v>
      </c>
      <c r="C121" s="19">
        <v>2015</v>
      </c>
      <c r="D121" s="19" t="s">
        <v>1</v>
      </c>
      <c r="E121" s="42">
        <v>40</v>
      </c>
      <c r="F121" s="63">
        <v>2220</v>
      </c>
      <c r="G121" s="42">
        <v>38.9</v>
      </c>
      <c r="H121" s="63" t="s">
        <v>219</v>
      </c>
      <c r="I121" s="21">
        <f t="shared" si="3"/>
        <v>97.249999999999986</v>
      </c>
      <c r="J121" s="19" t="s">
        <v>268</v>
      </c>
      <c r="K121" s="74">
        <v>2</v>
      </c>
      <c r="L121" s="77">
        <v>0</v>
      </c>
    </row>
    <row r="122" spans="1:12" ht="30" x14ac:dyDescent="0.25">
      <c r="A122" s="52">
        <v>13.9</v>
      </c>
      <c r="B122" s="28" t="s">
        <v>220</v>
      </c>
      <c r="C122" s="19">
        <v>2016</v>
      </c>
      <c r="D122" s="19" t="s">
        <v>1</v>
      </c>
      <c r="E122" s="42">
        <v>14</v>
      </c>
      <c r="F122" s="63">
        <v>2220</v>
      </c>
      <c r="G122" s="42">
        <v>14</v>
      </c>
      <c r="H122" s="63" t="s">
        <v>221</v>
      </c>
      <c r="I122" s="21">
        <f t="shared" si="3"/>
        <v>100</v>
      </c>
      <c r="J122" s="19" t="s">
        <v>269</v>
      </c>
      <c r="K122" s="74">
        <v>2</v>
      </c>
      <c r="L122" s="77">
        <v>0</v>
      </c>
    </row>
    <row r="123" spans="1:12" ht="30" x14ac:dyDescent="0.25">
      <c r="A123" s="53">
        <v>13.1</v>
      </c>
      <c r="B123" s="28" t="s">
        <v>222</v>
      </c>
      <c r="C123" s="19">
        <v>2016</v>
      </c>
      <c r="D123" s="19" t="s">
        <v>1</v>
      </c>
      <c r="E123" s="42">
        <v>12.1</v>
      </c>
      <c r="F123" s="63">
        <v>2220</v>
      </c>
      <c r="G123" s="42">
        <v>11.6</v>
      </c>
      <c r="H123" s="63" t="s">
        <v>223</v>
      </c>
      <c r="I123" s="21">
        <f t="shared" si="3"/>
        <v>95.867768595041326</v>
      </c>
      <c r="J123" s="19" t="s">
        <v>266</v>
      </c>
      <c r="K123" s="74">
        <v>2</v>
      </c>
      <c r="L123" s="77">
        <v>0</v>
      </c>
    </row>
    <row r="124" spans="1:12" ht="30" x14ac:dyDescent="0.25">
      <c r="A124" s="53">
        <v>13.11</v>
      </c>
      <c r="B124" s="28" t="s">
        <v>224</v>
      </c>
      <c r="C124" s="19">
        <v>2017</v>
      </c>
      <c r="D124" s="19" t="s">
        <v>1</v>
      </c>
      <c r="E124" s="42">
        <v>15</v>
      </c>
      <c r="F124" s="63">
        <v>2220</v>
      </c>
      <c r="G124" s="42">
        <v>14.35</v>
      </c>
      <c r="H124" s="63" t="s">
        <v>225</v>
      </c>
      <c r="I124" s="21">
        <f t="shared" si="3"/>
        <v>95.666666666666671</v>
      </c>
      <c r="J124" s="19" t="s">
        <v>270</v>
      </c>
      <c r="K124" s="74">
        <v>2</v>
      </c>
      <c r="L124" s="77">
        <v>0</v>
      </c>
    </row>
    <row r="125" spans="1:12" ht="60" x14ac:dyDescent="0.25">
      <c r="A125" s="53">
        <v>13.12</v>
      </c>
      <c r="B125" s="28" t="s">
        <v>398</v>
      </c>
      <c r="C125" s="19">
        <v>2017</v>
      </c>
      <c r="D125" s="19" t="s">
        <v>1</v>
      </c>
      <c r="E125" s="42">
        <v>14.5</v>
      </c>
      <c r="F125" s="63">
        <v>2220</v>
      </c>
      <c r="G125" s="42">
        <v>8.9</v>
      </c>
      <c r="H125" s="63">
        <v>1900</v>
      </c>
      <c r="I125" s="21">
        <f t="shared" si="3"/>
        <v>61.379310344827587</v>
      </c>
      <c r="J125" s="19" t="s">
        <v>270</v>
      </c>
      <c r="K125" s="74">
        <v>2</v>
      </c>
      <c r="L125" s="77">
        <v>0</v>
      </c>
    </row>
    <row r="126" spans="1:12" ht="30" x14ac:dyDescent="0.25">
      <c r="A126" s="53">
        <v>13.13</v>
      </c>
      <c r="B126" s="28" t="s">
        <v>227</v>
      </c>
      <c r="C126" s="19">
        <v>2018</v>
      </c>
      <c r="D126" s="19" t="s">
        <v>1</v>
      </c>
      <c r="E126" s="42">
        <v>15.5</v>
      </c>
      <c r="F126" s="63">
        <v>2220</v>
      </c>
      <c r="G126" s="42">
        <v>15.5</v>
      </c>
      <c r="H126" s="63">
        <v>1850</v>
      </c>
      <c r="I126" s="21">
        <f t="shared" si="3"/>
        <v>100</v>
      </c>
      <c r="J126" s="19" t="s">
        <v>271</v>
      </c>
      <c r="K126" s="74">
        <v>2</v>
      </c>
      <c r="L126" s="77">
        <v>0</v>
      </c>
    </row>
    <row r="127" spans="1:12" ht="30" x14ac:dyDescent="0.25">
      <c r="A127" s="53">
        <v>13.14</v>
      </c>
      <c r="B127" s="28" t="s">
        <v>228</v>
      </c>
      <c r="C127" s="19">
        <v>2018</v>
      </c>
      <c r="D127" s="19" t="s">
        <v>1</v>
      </c>
      <c r="E127" s="42">
        <v>15.6</v>
      </c>
      <c r="F127" s="63">
        <v>2220</v>
      </c>
      <c r="G127" s="42">
        <v>8.1999999999999993</v>
      </c>
      <c r="H127" s="63" t="s">
        <v>229</v>
      </c>
      <c r="I127" s="21">
        <f t="shared" si="3"/>
        <v>52.564102564102569</v>
      </c>
      <c r="J127" s="19" t="s">
        <v>271</v>
      </c>
      <c r="K127" s="74">
        <v>2</v>
      </c>
      <c r="L127" s="77">
        <v>0</v>
      </c>
    </row>
    <row r="128" spans="1:12" x14ac:dyDescent="0.25">
      <c r="A128" s="34">
        <v>14</v>
      </c>
      <c r="B128" s="31" t="s">
        <v>96</v>
      </c>
      <c r="C128" s="22"/>
      <c r="D128" s="22"/>
      <c r="E128" s="26">
        <f>SUM(E129:E130)</f>
        <v>99.3</v>
      </c>
      <c r="F128" s="33"/>
      <c r="G128" s="26">
        <f>SUM(G129:G130)</f>
        <v>93.8</v>
      </c>
      <c r="H128" s="33"/>
      <c r="I128" s="56">
        <f t="shared" ref="I128:I153" si="4">G128/E128*100</f>
        <v>94.461228600201409</v>
      </c>
      <c r="J128" s="22"/>
      <c r="L128" s="66"/>
    </row>
    <row r="129" spans="1:12" ht="30" x14ac:dyDescent="0.25">
      <c r="A129" s="52">
        <v>14.1</v>
      </c>
      <c r="B129" s="28" t="s">
        <v>230</v>
      </c>
      <c r="C129" s="19">
        <v>2015</v>
      </c>
      <c r="D129" s="19" t="s">
        <v>1</v>
      </c>
      <c r="E129" s="42">
        <v>60</v>
      </c>
      <c r="F129" s="63">
        <v>2220</v>
      </c>
      <c r="G129" s="42">
        <v>57.22</v>
      </c>
      <c r="H129" s="63" t="s">
        <v>231</v>
      </c>
      <c r="I129" s="21">
        <f t="shared" si="4"/>
        <v>95.36666666666666</v>
      </c>
      <c r="J129" s="19" t="s">
        <v>269</v>
      </c>
      <c r="K129" s="74">
        <v>2</v>
      </c>
      <c r="L129" s="77">
        <v>2</v>
      </c>
    </row>
    <row r="130" spans="1:12" ht="30" x14ac:dyDescent="0.25">
      <c r="A130" s="52">
        <v>14.2</v>
      </c>
      <c r="B130" s="28" t="s">
        <v>232</v>
      </c>
      <c r="C130" s="19">
        <v>2017</v>
      </c>
      <c r="D130" s="19" t="s">
        <v>1</v>
      </c>
      <c r="E130" s="42">
        <v>39.299999999999997</v>
      </c>
      <c r="F130" s="63">
        <v>2220</v>
      </c>
      <c r="G130" s="42">
        <v>36.58</v>
      </c>
      <c r="H130" s="63" t="s">
        <v>233</v>
      </c>
      <c r="I130" s="21">
        <f t="shared" si="4"/>
        <v>93.078880407124686</v>
      </c>
      <c r="J130" s="19" t="s">
        <v>270</v>
      </c>
      <c r="K130" s="74">
        <v>2</v>
      </c>
      <c r="L130" s="77">
        <v>2</v>
      </c>
    </row>
    <row r="131" spans="1:12" x14ac:dyDescent="0.25">
      <c r="A131" s="34">
        <v>15</v>
      </c>
      <c r="B131" s="31" t="s">
        <v>76</v>
      </c>
      <c r="C131" s="22"/>
      <c r="D131" s="22"/>
      <c r="E131" s="26">
        <f>SUM(E132:E133)</f>
        <v>20</v>
      </c>
      <c r="F131" s="33"/>
      <c r="G131" s="26">
        <f>SUM(G132:G133)</f>
        <v>18.82</v>
      </c>
      <c r="H131" s="33"/>
      <c r="I131" s="56">
        <f t="shared" si="4"/>
        <v>94.100000000000009</v>
      </c>
      <c r="J131" s="22"/>
      <c r="L131" s="66"/>
    </row>
    <row r="132" spans="1:12" ht="30" x14ac:dyDescent="0.25">
      <c r="A132" s="52">
        <v>15.1</v>
      </c>
      <c r="B132" s="28" t="s">
        <v>234</v>
      </c>
      <c r="C132" s="19">
        <v>2014</v>
      </c>
      <c r="D132" s="19" t="s">
        <v>1</v>
      </c>
      <c r="E132" s="42">
        <v>10</v>
      </c>
      <c r="F132" s="63">
        <v>2220</v>
      </c>
      <c r="G132" s="42">
        <v>8.82</v>
      </c>
      <c r="H132" s="63" t="s">
        <v>235</v>
      </c>
      <c r="I132" s="21">
        <f t="shared" si="4"/>
        <v>88.2</v>
      </c>
      <c r="J132" s="19" t="s">
        <v>268</v>
      </c>
      <c r="K132" s="74">
        <v>2</v>
      </c>
      <c r="L132" s="77">
        <v>2</v>
      </c>
    </row>
    <row r="133" spans="1:12" ht="30" x14ac:dyDescent="0.25">
      <c r="A133" s="52">
        <v>15.2</v>
      </c>
      <c r="B133" s="28" t="s">
        <v>236</v>
      </c>
      <c r="C133" s="19">
        <v>2015</v>
      </c>
      <c r="D133" s="19" t="s">
        <v>1</v>
      </c>
      <c r="E133" s="42">
        <v>10</v>
      </c>
      <c r="F133" s="63">
        <v>2220</v>
      </c>
      <c r="G133" s="42">
        <v>10</v>
      </c>
      <c r="H133" s="63" t="s">
        <v>237</v>
      </c>
      <c r="I133" s="21">
        <f t="shared" si="4"/>
        <v>100</v>
      </c>
      <c r="J133" s="19" t="s">
        <v>268</v>
      </c>
      <c r="K133" s="74">
        <v>2</v>
      </c>
      <c r="L133" s="77">
        <v>2</v>
      </c>
    </row>
    <row r="134" spans="1:12" x14ac:dyDescent="0.25">
      <c r="A134" s="34">
        <v>16</v>
      </c>
      <c r="B134" s="31" t="s">
        <v>4</v>
      </c>
      <c r="C134" s="22"/>
      <c r="D134" s="22"/>
      <c r="E134" s="26">
        <f>SUM(E135:E137)</f>
        <v>35</v>
      </c>
      <c r="F134" s="33"/>
      <c r="G134" s="26">
        <f>SUM(G135:G137)</f>
        <v>28.4</v>
      </c>
      <c r="H134" s="33"/>
      <c r="I134" s="56">
        <f t="shared" si="4"/>
        <v>81.142857142857139</v>
      </c>
      <c r="J134" s="22"/>
      <c r="L134" s="66"/>
    </row>
    <row r="135" spans="1:12" ht="30" x14ac:dyDescent="0.25">
      <c r="A135" s="52">
        <v>16.100000000000001</v>
      </c>
      <c r="B135" s="28" t="s">
        <v>238</v>
      </c>
      <c r="C135" s="19">
        <v>2014</v>
      </c>
      <c r="D135" s="19" t="s">
        <v>1</v>
      </c>
      <c r="E135" s="42">
        <v>10</v>
      </c>
      <c r="F135" s="63">
        <v>2220</v>
      </c>
      <c r="G135" s="42">
        <v>9.4499999999999993</v>
      </c>
      <c r="H135" s="63" t="s">
        <v>239</v>
      </c>
      <c r="I135" s="21">
        <f t="shared" si="4"/>
        <v>94.5</v>
      </c>
      <c r="J135" s="19" t="s">
        <v>267</v>
      </c>
      <c r="K135" s="74">
        <v>2</v>
      </c>
      <c r="L135" s="77">
        <v>2</v>
      </c>
    </row>
    <row r="136" spans="1:12" ht="30" x14ac:dyDescent="0.25">
      <c r="A136" s="52">
        <v>16.2</v>
      </c>
      <c r="B136" s="28" t="s">
        <v>240</v>
      </c>
      <c r="C136" s="19">
        <v>2015</v>
      </c>
      <c r="D136" s="19" t="s">
        <v>1</v>
      </c>
      <c r="E136" s="42">
        <v>15</v>
      </c>
      <c r="F136" s="63">
        <v>2220</v>
      </c>
      <c r="G136" s="42">
        <v>9</v>
      </c>
      <c r="H136" s="63" t="s">
        <v>239</v>
      </c>
      <c r="I136" s="21">
        <f t="shared" si="4"/>
        <v>60</v>
      </c>
      <c r="J136" s="19" t="s">
        <v>268</v>
      </c>
      <c r="K136" s="74">
        <v>2</v>
      </c>
      <c r="L136" s="77">
        <v>2</v>
      </c>
    </row>
    <row r="137" spans="1:12" ht="30" x14ac:dyDescent="0.25">
      <c r="A137" s="52">
        <v>16.3</v>
      </c>
      <c r="B137" s="28" t="s">
        <v>241</v>
      </c>
      <c r="C137" s="19">
        <v>2015</v>
      </c>
      <c r="D137" s="19" t="s">
        <v>1</v>
      </c>
      <c r="E137" s="42">
        <v>10</v>
      </c>
      <c r="F137" s="63">
        <v>2220</v>
      </c>
      <c r="G137" s="42">
        <v>9.9499999999999993</v>
      </c>
      <c r="H137" s="63" t="s">
        <v>242</v>
      </c>
      <c r="I137" s="21">
        <f t="shared" si="4"/>
        <v>99.499999999999986</v>
      </c>
      <c r="J137" s="19" t="s">
        <v>268</v>
      </c>
      <c r="K137" s="74">
        <v>2</v>
      </c>
      <c r="L137" s="77">
        <v>2</v>
      </c>
    </row>
    <row r="138" spans="1:12" x14ac:dyDescent="0.25">
      <c r="A138" s="34">
        <v>17</v>
      </c>
      <c r="B138" s="31" t="s">
        <v>98</v>
      </c>
      <c r="C138" s="22"/>
      <c r="D138" s="22"/>
      <c r="E138" s="26">
        <f>SUM(E139:E140)</f>
        <v>127.23</v>
      </c>
      <c r="F138" s="33"/>
      <c r="G138" s="26">
        <f>SUM(G139:G140)</f>
        <v>127.23</v>
      </c>
      <c r="H138" s="33"/>
      <c r="I138" s="56">
        <f t="shared" si="4"/>
        <v>100</v>
      </c>
      <c r="J138" s="22"/>
      <c r="L138" s="66"/>
    </row>
    <row r="139" spans="1:12" ht="30" x14ac:dyDescent="0.25">
      <c r="A139" s="52">
        <v>17.100000000000001</v>
      </c>
      <c r="B139" s="28" t="s">
        <v>243</v>
      </c>
      <c r="C139" s="19">
        <v>2018</v>
      </c>
      <c r="D139" s="19" t="s">
        <v>17</v>
      </c>
      <c r="E139" s="42">
        <v>89.2</v>
      </c>
      <c r="F139" s="63">
        <v>2220</v>
      </c>
      <c r="G139" s="42">
        <v>89.2</v>
      </c>
      <c r="H139" s="63">
        <v>2220</v>
      </c>
      <c r="I139" s="21">
        <f t="shared" si="4"/>
        <v>100</v>
      </c>
      <c r="J139" s="19" t="s">
        <v>266</v>
      </c>
      <c r="K139" s="74">
        <v>2</v>
      </c>
      <c r="L139" s="77">
        <v>1</v>
      </c>
    </row>
    <row r="140" spans="1:12" ht="30" x14ac:dyDescent="0.25">
      <c r="A140" s="52">
        <v>17.2</v>
      </c>
      <c r="B140" s="28" t="s">
        <v>244</v>
      </c>
      <c r="C140" s="19">
        <v>2019</v>
      </c>
      <c r="D140" s="19" t="s">
        <v>17</v>
      </c>
      <c r="E140" s="42">
        <v>38.03</v>
      </c>
      <c r="F140" s="63">
        <v>2220</v>
      </c>
      <c r="G140" s="42">
        <v>38.03</v>
      </c>
      <c r="H140" s="63">
        <v>2220</v>
      </c>
      <c r="I140" s="21">
        <f t="shared" si="4"/>
        <v>100</v>
      </c>
      <c r="J140" s="19" t="s">
        <v>270</v>
      </c>
      <c r="K140" s="74">
        <v>2</v>
      </c>
      <c r="L140" s="77">
        <v>1</v>
      </c>
    </row>
    <row r="141" spans="1:12" x14ac:dyDescent="0.25">
      <c r="A141" s="34">
        <v>18</v>
      </c>
      <c r="B141" s="31" t="s">
        <v>97</v>
      </c>
      <c r="C141" s="22"/>
      <c r="D141" s="22"/>
      <c r="E141" s="26">
        <f>SUM(E142:E143)</f>
        <v>45.89</v>
      </c>
      <c r="F141" s="33"/>
      <c r="G141" s="26">
        <f>SUM(G142:G143)</f>
        <v>41.54</v>
      </c>
      <c r="H141" s="33"/>
      <c r="I141" s="56">
        <f t="shared" si="4"/>
        <v>90.520810634125084</v>
      </c>
      <c r="J141" s="22"/>
      <c r="L141" s="66"/>
    </row>
    <row r="142" spans="1:12" ht="30" x14ac:dyDescent="0.25">
      <c r="A142" s="52">
        <v>18.100000000000001</v>
      </c>
      <c r="B142" s="28" t="s">
        <v>245</v>
      </c>
      <c r="C142" s="19">
        <v>2014</v>
      </c>
      <c r="D142" s="19" t="s">
        <v>246</v>
      </c>
      <c r="E142" s="42">
        <v>23</v>
      </c>
      <c r="F142" s="63" t="s">
        <v>247</v>
      </c>
      <c r="G142" s="42">
        <v>20.81</v>
      </c>
      <c r="H142" s="63" t="s">
        <v>248</v>
      </c>
      <c r="I142" s="21">
        <f t="shared" si="4"/>
        <v>90.478260869565204</v>
      </c>
      <c r="J142" s="19" t="s">
        <v>268</v>
      </c>
      <c r="K142" s="74">
        <v>2</v>
      </c>
      <c r="L142" s="77">
        <v>1</v>
      </c>
    </row>
    <row r="143" spans="1:12" ht="30" x14ac:dyDescent="0.25">
      <c r="A143" s="52">
        <v>18.2</v>
      </c>
      <c r="B143" s="28" t="s">
        <v>249</v>
      </c>
      <c r="C143" s="19">
        <v>2015</v>
      </c>
      <c r="D143" s="19" t="s">
        <v>246</v>
      </c>
      <c r="E143" s="42">
        <v>22.89</v>
      </c>
      <c r="F143" s="63" t="s">
        <v>250</v>
      </c>
      <c r="G143" s="42">
        <v>20.73</v>
      </c>
      <c r="H143" s="63" t="s">
        <v>251</v>
      </c>
      <c r="I143" s="21">
        <f t="shared" si="4"/>
        <v>90.56356487549148</v>
      </c>
      <c r="J143" s="19" t="s">
        <v>269</v>
      </c>
      <c r="K143" s="74">
        <v>2</v>
      </c>
      <c r="L143" s="77">
        <v>1</v>
      </c>
    </row>
    <row r="144" spans="1:12" x14ac:dyDescent="0.25">
      <c r="A144" s="34">
        <v>19</v>
      </c>
      <c r="B144" s="31" t="s">
        <v>2</v>
      </c>
      <c r="C144" s="22"/>
      <c r="D144" s="22"/>
      <c r="E144" s="26">
        <f>SUM(E145:E148)</f>
        <v>57</v>
      </c>
      <c r="F144" s="33"/>
      <c r="G144" s="26">
        <f>SUM(G145:G148)</f>
        <v>56.760000000000005</v>
      </c>
      <c r="H144" s="33"/>
      <c r="I144" s="56">
        <f t="shared" si="4"/>
        <v>99.578947368421069</v>
      </c>
      <c r="J144" s="22"/>
      <c r="L144" s="66"/>
    </row>
    <row r="145" spans="1:12" ht="30" x14ac:dyDescent="0.25">
      <c r="A145" s="52">
        <v>19.100000000000001</v>
      </c>
      <c r="B145" s="28" t="s">
        <v>252</v>
      </c>
      <c r="C145" s="19">
        <v>2014</v>
      </c>
      <c r="D145" s="19" t="s">
        <v>1</v>
      </c>
      <c r="E145" s="42">
        <v>20</v>
      </c>
      <c r="F145" s="63">
        <v>2220</v>
      </c>
      <c r="G145" s="42">
        <v>20</v>
      </c>
      <c r="H145" s="63" t="s">
        <v>111</v>
      </c>
      <c r="I145" s="21">
        <f t="shared" si="4"/>
        <v>100</v>
      </c>
      <c r="J145" s="19" t="s">
        <v>267</v>
      </c>
      <c r="K145" s="74">
        <v>2</v>
      </c>
      <c r="L145" s="77">
        <v>0</v>
      </c>
    </row>
    <row r="146" spans="1:12" ht="30" x14ac:dyDescent="0.25">
      <c r="A146" s="52">
        <v>19.2</v>
      </c>
      <c r="B146" s="28" t="s">
        <v>253</v>
      </c>
      <c r="C146" s="19">
        <v>2014</v>
      </c>
      <c r="D146" s="19" t="s">
        <v>1</v>
      </c>
      <c r="E146" s="42">
        <v>10</v>
      </c>
      <c r="F146" s="63">
        <v>2220</v>
      </c>
      <c r="G146" s="42">
        <v>10</v>
      </c>
      <c r="H146" s="63" t="s">
        <v>111</v>
      </c>
      <c r="I146" s="21">
        <f t="shared" si="4"/>
        <v>100</v>
      </c>
      <c r="J146" s="19" t="s">
        <v>267</v>
      </c>
      <c r="K146" s="74">
        <v>2</v>
      </c>
      <c r="L146" s="77">
        <v>0</v>
      </c>
    </row>
    <row r="147" spans="1:12" ht="30" x14ac:dyDescent="0.25">
      <c r="A147" s="52">
        <v>19.3</v>
      </c>
      <c r="B147" s="28" t="s">
        <v>254</v>
      </c>
      <c r="C147" s="19">
        <v>2015</v>
      </c>
      <c r="D147" s="19" t="s">
        <v>1</v>
      </c>
      <c r="E147" s="42">
        <v>20</v>
      </c>
      <c r="F147" s="63">
        <v>2220</v>
      </c>
      <c r="G147" s="42">
        <v>19.760000000000002</v>
      </c>
      <c r="H147" s="63" t="s">
        <v>255</v>
      </c>
      <c r="I147" s="21">
        <f t="shared" si="4"/>
        <v>98.800000000000011</v>
      </c>
      <c r="J147" s="19" t="s">
        <v>268</v>
      </c>
      <c r="K147" s="74">
        <v>2</v>
      </c>
      <c r="L147" s="77">
        <v>0</v>
      </c>
    </row>
    <row r="148" spans="1:12" ht="30" x14ac:dyDescent="0.25">
      <c r="A148" s="52">
        <v>19.399999999999999</v>
      </c>
      <c r="B148" s="28" t="s">
        <v>256</v>
      </c>
      <c r="C148" s="19">
        <v>2015</v>
      </c>
      <c r="D148" s="19" t="s">
        <v>1</v>
      </c>
      <c r="E148" s="42">
        <v>7</v>
      </c>
      <c r="F148" s="63">
        <v>2220</v>
      </c>
      <c r="G148" s="42">
        <v>7</v>
      </c>
      <c r="H148" s="63" t="s">
        <v>257</v>
      </c>
      <c r="I148" s="21">
        <f t="shared" si="4"/>
        <v>100</v>
      </c>
      <c r="J148" s="19" t="s">
        <v>268</v>
      </c>
      <c r="K148" s="74">
        <v>2</v>
      </c>
      <c r="L148" s="77">
        <v>0</v>
      </c>
    </row>
    <row r="149" spans="1:12" x14ac:dyDescent="0.25">
      <c r="A149" s="34">
        <v>20</v>
      </c>
      <c r="B149" s="31" t="s">
        <v>99</v>
      </c>
      <c r="C149" s="22"/>
      <c r="D149" s="22"/>
      <c r="E149" s="26">
        <f>E150</f>
        <v>70</v>
      </c>
      <c r="F149" s="33"/>
      <c r="G149" s="26">
        <f>G150</f>
        <v>69.540000000000006</v>
      </c>
      <c r="H149" s="33"/>
      <c r="I149" s="56">
        <f t="shared" si="4"/>
        <v>99.342857142857156</v>
      </c>
      <c r="J149" s="22"/>
      <c r="L149" s="66"/>
    </row>
    <row r="150" spans="1:12" ht="45" x14ac:dyDescent="0.25">
      <c r="A150" s="52">
        <v>20.100000000000001</v>
      </c>
      <c r="B150" s="28" t="s">
        <v>258</v>
      </c>
      <c r="C150" s="19">
        <v>2015</v>
      </c>
      <c r="D150" s="19" t="s">
        <v>403</v>
      </c>
      <c r="E150" s="42">
        <v>70</v>
      </c>
      <c r="F150" s="63" t="s">
        <v>259</v>
      </c>
      <c r="G150" s="42">
        <v>69.540000000000006</v>
      </c>
      <c r="H150" s="63" t="s">
        <v>260</v>
      </c>
      <c r="I150" s="21">
        <f t="shared" si="4"/>
        <v>99.342857142857156</v>
      </c>
      <c r="J150" s="19" t="s">
        <v>266</v>
      </c>
      <c r="K150" s="74">
        <v>2</v>
      </c>
      <c r="L150" s="77">
        <v>2</v>
      </c>
    </row>
    <row r="151" spans="1:12" x14ac:dyDescent="0.25">
      <c r="A151" s="34">
        <v>21</v>
      </c>
      <c r="B151" s="31" t="s">
        <v>11</v>
      </c>
      <c r="C151" s="22"/>
      <c r="D151" s="22"/>
      <c r="E151" s="26">
        <f>SUM(E152:E153)</f>
        <v>89.86</v>
      </c>
      <c r="F151" s="33"/>
      <c r="G151" s="26">
        <f>SUM(G152:G153)</f>
        <v>89.19</v>
      </c>
      <c r="H151" s="33"/>
      <c r="I151" s="56">
        <f t="shared" si="4"/>
        <v>99.254395726685956</v>
      </c>
      <c r="J151" s="22"/>
      <c r="L151" s="66"/>
    </row>
    <row r="152" spans="1:12" ht="30" x14ac:dyDescent="0.25">
      <c r="A152" s="52">
        <v>21.1</v>
      </c>
      <c r="B152" s="28" t="s">
        <v>261</v>
      </c>
      <c r="C152" s="19">
        <v>2017</v>
      </c>
      <c r="D152" s="19" t="s">
        <v>12</v>
      </c>
      <c r="E152" s="19">
        <v>64.8</v>
      </c>
      <c r="F152" s="19">
        <v>417</v>
      </c>
      <c r="G152" s="19">
        <v>64.8</v>
      </c>
      <c r="H152" s="19" t="s">
        <v>262</v>
      </c>
      <c r="I152" s="21">
        <f t="shared" si="4"/>
        <v>100</v>
      </c>
      <c r="J152" s="19" t="s">
        <v>265</v>
      </c>
      <c r="K152" s="74">
        <v>2</v>
      </c>
      <c r="L152" s="77">
        <v>0</v>
      </c>
    </row>
    <row r="153" spans="1:12" ht="30" x14ac:dyDescent="0.25">
      <c r="A153" s="52">
        <v>21.2</v>
      </c>
      <c r="B153" s="28" t="s">
        <v>263</v>
      </c>
      <c r="C153" s="19">
        <v>2018</v>
      </c>
      <c r="D153" s="19" t="s">
        <v>12</v>
      </c>
      <c r="E153" s="19">
        <v>25.06</v>
      </c>
      <c r="F153" s="19">
        <v>417</v>
      </c>
      <c r="G153" s="19">
        <v>24.39</v>
      </c>
      <c r="H153" s="19" t="s">
        <v>264</v>
      </c>
      <c r="I153" s="21">
        <f t="shared" si="4"/>
        <v>97.326416600159632</v>
      </c>
      <c r="J153" s="19" t="s">
        <v>265</v>
      </c>
      <c r="K153" s="74">
        <v>2</v>
      </c>
      <c r="L153" s="77">
        <v>0</v>
      </c>
    </row>
  </sheetData>
  <autoFilter ref="A4:L153"/>
  <mergeCells count="11">
    <mergeCell ref="A1:J1"/>
    <mergeCell ref="A2:J2"/>
    <mergeCell ref="I3:I4"/>
    <mergeCell ref="A5:B5"/>
    <mergeCell ref="B32:D32"/>
    <mergeCell ref="B6:D6"/>
    <mergeCell ref="J3:J4"/>
    <mergeCell ref="C3:F3"/>
    <mergeCell ref="G3:H3"/>
    <mergeCell ref="A3:A4"/>
    <mergeCell ref="B3:B4"/>
  </mergeCells>
  <pageMargins left="0.56999999999999995" right="0.23" top="0.56999999999999995" bottom="0.28000000000000003" header="0.3" footer="0.2"/>
  <pageSetup paperSize="9" scale="94" orientation="landscape" r:id="rId1"/>
  <headerFooter>
    <oddHeader>Page &amp;P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86"/>
  <sheetViews>
    <sheetView tabSelected="1" zoomScale="118" zoomScaleNormal="118" workbookViewId="0">
      <pane ySplit="4" topLeftCell="A5" activePane="bottomLeft" state="frozen"/>
      <selection pane="bottomLeft" activeCell="A2" sqref="A2:H2"/>
    </sheetView>
  </sheetViews>
  <sheetFormatPr defaultColWidth="9.140625" defaultRowHeight="15" x14ac:dyDescent="0.25"/>
  <cols>
    <col min="1" max="1" width="5.85546875" style="66" customWidth="1"/>
    <col min="2" max="2" width="35.7109375" style="66" customWidth="1"/>
    <col min="3" max="3" width="6.5703125" style="66" customWidth="1"/>
    <col min="4" max="4" width="16.140625" style="73" customWidth="1"/>
    <col min="5" max="5" width="15.42578125" style="73" customWidth="1"/>
    <col min="6" max="6" width="21.42578125" style="73" bestFit="1" customWidth="1"/>
    <col min="7" max="7" width="13.28515625" style="73" customWidth="1"/>
    <col min="8" max="8" width="31.42578125" style="66" customWidth="1"/>
    <col min="9" max="10" width="9.140625" style="66"/>
    <col min="11" max="11" width="17" style="66" customWidth="1"/>
    <col min="12" max="12" width="19" style="67" customWidth="1"/>
    <col min="13" max="13" width="15.85546875" style="66" bestFit="1" customWidth="1"/>
    <col min="14" max="16384" width="9.140625" style="66"/>
  </cols>
  <sheetData>
    <row r="1" spans="1:15" s="64" customFormat="1" ht="16.5" x14ac:dyDescent="0.25">
      <c r="A1" s="192" t="s">
        <v>499</v>
      </c>
      <c r="B1" s="192"/>
      <c r="C1" s="192"/>
      <c r="D1" s="192"/>
      <c r="E1" s="192"/>
      <c r="F1" s="192"/>
      <c r="G1" s="192"/>
      <c r="H1" s="192"/>
      <c r="I1" s="79"/>
      <c r="J1" s="80"/>
      <c r="K1" s="80"/>
      <c r="L1" s="81"/>
      <c r="M1" s="80"/>
    </row>
    <row r="2" spans="1:15" s="64" customFormat="1" x14ac:dyDescent="0.25">
      <c r="A2" s="194" t="str">
        <f>'Biểu 01'!A2:J2</f>
        <v>(Kèm Văn bản số: 2278/SNN-KH ngày 18 tháng 9 năm 2023 của Sở Nông nghiệp và PTNT)</v>
      </c>
      <c r="B2" s="194"/>
      <c r="C2" s="194"/>
      <c r="D2" s="194"/>
      <c r="E2" s="194"/>
      <c r="F2" s="194"/>
      <c r="G2" s="194"/>
      <c r="H2" s="194"/>
      <c r="I2" s="80"/>
      <c r="J2" s="80"/>
      <c r="K2" s="80"/>
      <c r="L2" s="81"/>
      <c r="M2" s="80"/>
      <c r="O2" s="64">
        <v>0</v>
      </c>
    </row>
    <row r="3" spans="1:15" s="64" customFormat="1" ht="22.5" customHeight="1" x14ac:dyDescent="0.25">
      <c r="A3" s="191" t="s">
        <v>0</v>
      </c>
      <c r="B3" s="191" t="s">
        <v>100</v>
      </c>
      <c r="C3" s="191" t="s">
        <v>105</v>
      </c>
      <c r="D3" s="191" t="s">
        <v>315</v>
      </c>
      <c r="E3" s="191" t="s">
        <v>316</v>
      </c>
      <c r="F3" s="191" t="s">
        <v>317</v>
      </c>
      <c r="G3" s="191"/>
      <c r="H3" s="193" t="s">
        <v>19</v>
      </c>
      <c r="I3" s="80"/>
      <c r="J3" s="80"/>
      <c r="K3" s="80"/>
      <c r="L3" s="81"/>
      <c r="M3" s="80"/>
    </row>
    <row r="4" spans="1:15" ht="42.75" x14ac:dyDescent="0.25">
      <c r="A4" s="191"/>
      <c r="B4" s="191"/>
      <c r="C4" s="191"/>
      <c r="D4" s="191"/>
      <c r="E4" s="191"/>
      <c r="F4" s="82" t="s">
        <v>318</v>
      </c>
      <c r="G4" s="82" t="s">
        <v>319</v>
      </c>
      <c r="H4" s="193"/>
      <c r="I4" s="77"/>
      <c r="J4" s="77"/>
      <c r="K4" s="77"/>
      <c r="L4" s="83"/>
      <c r="M4" s="77"/>
    </row>
    <row r="5" spans="1:15" ht="21.75" customHeight="1" x14ac:dyDescent="0.25">
      <c r="A5" s="189" t="s">
        <v>400</v>
      </c>
      <c r="B5" s="190"/>
      <c r="C5" s="65"/>
      <c r="D5" s="173">
        <f>D6+D32</f>
        <v>155346978573</v>
      </c>
      <c r="E5" s="173">
        <f>E6+E32</f>
        <v>147893525814</v>
      </c>
      <c r="F5" s="173">
        <f>F6+F32</f>
        <v>4278254905</v>
      </c>
      <c r="G5" s="173">
        <f>G6+G32</f>
        <v>2385138152</v>
      </c>
      <c r="H5" s="68"/>
      <c r="K5" s="67">
        <f>E5+G5</f>
        <v>150278663966</v>
      </c>
    </row>
    <row r="6" spans="1:15" ht="28.5" x14ac:dyDescent="0.25">
      <c r="A6" s="65" t="s">
        <v>322</v>
      </c>
      <c r="B6" s="159" t="s">
        <v>325</v>
      </c>
      <c r="C6" s="69"/>
      <c r="D6" s="174">
        <f>D7+D11+D14+D16+D20+D26+D30</f>
        <v>14539035610</v>
      </c>
      <c r="E6" s="174">
        <f>E7+E11+E14+E16+E20+E26+E30</f>
        <v>12383621812</v>
      </c>
      <c r="F6" s="174">
        <f>F7+F11+F14+F16+F20+F26+F30</f>
        <v>247279065</v>
      </c>
      <c r="G6" s="174">
        <f>G7+G11+G14+G16+G20+G26+G30</f>
        <v>1122016501</v>
      </c>
      <c r="H6" s="70"/>
      <c r="J6" s="66">
        <v>18</v>
      </c>
      <c r="K6" s="67">
        <f>D5-F5</f>
        <v>151068723668</v>
      </c>
    </row>
    <row r="7" spans="1:15" x14ac:dyDescent="0.25">
      <c r="A7" s="34">
        <v>1</v>
      </c>
      <c r="B7" s="31" t="s">
        <v>13</v>
      </c>
      <c r="C7" s="49"/>
      <c r="D7" s="174">
        <f>SUM(D8:D10)</f>
        <v>1520158690</v>
      </c>
      <c r="E7" s="174">
        <f>SUM(E8:E10)</f>
        <v>1339622920</v>
      </c>
      <c r="F7" s="174">
        <f>SUM(F8:F10)</f>
        <v>0</v>
      </c>
      <c r="G7" s="174">
        <f>SUM(G8:G10)</f>
        <v>180535770</v>
      </c>
      <c r="H7" s="49"/>
    </row>
    <row r="8" spans="1:15" ht="30" x14ac:dyDescent="0.25">
      <c r="A8" s="52" t="s">
        <v>334</v>
      </c>
      <c r="B8" s="162" t="s">
        <v>276</v>
      </c>
      <c r="C8" s="49">
        <v>2020</v>
      </c>
      <c r="D8" s="175">
        <v>953878020</v>
      </c>
      <c r="E8" s="175">
        <v>773342250</v>
      </c>
      <c r="F8" s="175"/>
      <c r="G8" s="175">
        <f>D8-E8</f>
        <v>180535770</v>
      </c>
      <c r="H8" s="72" t="s">
        <v>329</v>
      </c>
      <c r="L8" s="67">
        <f>D5-E5</f>
        <v>7453452759</v>
      </c>
    </row>
    <row r="9" spans="1:15" ht="30" x14ac:dyDescent="0.25">
      <c r="A9" s="53" t="s">
        <v>335</v>
      </c>
      <c r="B9" s="162" t="s">
        <v>277</v>
      </c>
      <c r="C9" s="49">
        <v>2021</v>
      </c>
      <c r="D9" s="175">
        <v>424127250</v>
      </c>
      <c r="E9" s="175">
        <v>424127250</v>
      </c>
      <c r="F9" s="175"/>
      <c r="G9" s="175">
        <f>D9-E9</f>
        <v>0</v>
      </c>
      <c r="H9" s="72" t="s">
        <v>329</v>
      </c>
    </row>
    <row r="10" spans="1:15" ht="30" x14ac:dyDescent="0.25">
      <c r="A10" s="52" t="s">
        <v>336</v>
      </c>
      <c r="B10" s="162" t="s">
        <v>278</v>
      </c>
      <c r="C10" s="49">
        <v>2022</v>
      </c>
      <c r="D10" s="175">
        <v>142153420</v>
      </c>
      <c r="E10" s="175">
        <v>142153420</v>
      </c>
      <c r="F10" s="175"/>
      <c r="G10" s="175">
        <f>D10-E10</f>
        <v>0</v>
      </c>
      <c r="H10" s="72" t="s">
        <v>329</v>
      </c>
    </row>
    <row r="11" spans="1:15" x14ac:dyDescent="0.25">
      <c r="A11" s="34">
        <v>2</v>
      </c>
      <c r="B11" s="31" t="s">
        <v>7</v>
      </c>
      <c r="C11" s="49"/>
      <c r="D11" s="174">
        <f>SUM(D12:D13)</f>
        <v>1146022421</v>
      </c>
      <c r="E11" s="174">
        <f>SUM(E12:E13)</f>
        <v>1039088274</v>
      </c>
      <c r="F11" s="174">
        <f>SUM(F12:F13)</f>
        <v>52216166</v>
      </c>
      <c r="G11" s="174">
        <f>SUM(G12:G13)</f>
        <v>54717981</v>
      </c>
      <c r="H11" s="72"/>
      <c r="K11" s="67">
        <f>E5+F5+G5</f>
        <v>154556918871</v>
      </c>
    </row>
    <row r="12" spans="1:15" ht="30" x14ac:dyDescent="0.25">
      <c r="A12" s="52" t="s">
        <v>14</v>
      </c>
      <c r="B12" s="162" t="s">
        <v>279</v>
      </c>
      <c r="C12" s="49">
        <v>2020</v>
      </c>
      <c r="D12" s="175">
        <v>760045561</v>
      </c>
      <c r="E12" s="175">
        <v>696324265</v>
      </c>
      <c r="F12" s="175">
        <v>52216166</v>
      </c>
      <c r="G12" s="175">
        <f>63721296-F12</f>
        <v>11505130</v>
      </c>
      <c r="H12" s="72" t="s">
        <v>329</v>
      </c>
    </row>
    <row r="13" spans="1:15" ht="30" x14ac:dyDescent="0.25">
      <c r="A13" s="52" t="s">
        <v>15</v>
      </c>
      <c r="B13" s="162" t="s">
        <v>281</v>
      </c>
      <c r="C13" s="49">
        <v>2022</v>
      </c>
      <c r="D13" s="175">
        <v>385976860</v>
      </c>
      <c r="E13" s="175">
        <v>342764009</v>
      </c>
      <c r="F13" s="175"/>
      <c r="G13" s="175">
        <f>D13-E13</f>
        <v>43212851</v>
      </c>
      <c r="H13" s="72" t="s">
        <v>329</v>
      </c>
      <c r="K13" s="67">
        <f>F11+F58</f>
        <v>1839657407</v>
      </c>
    </row>
    <row r="14" spans="1:15" x14ac:dyDescent="0.25">
      <c r="A14" s="34">
        <v>3</v>
      </c>
      <c r="B14" s="31" t="s">
        <v>95</v>
      </c>
      <c r="C14" s="49"/>
      <c r="D14" s="176">
        <f>D15</f>
        <v>786118308</v>
      </c>
      <c r="E14" s="176">
        <f>E15</f>
        <v>0</v>
      </c>
      <c r="F14" s="176">
        <f>F15</f>
        <v>0</v>
      </c>
      <c r="G14" s="176">
        <f>G15</f>
        <v>0</v>
      </c>
      <c r="H14" s="172"/>
    </row>
    <row r="15" spans="1:15" ht="44.25" x14ac:dyDescent="0.25">
      <c r="A15" s="52">
        <v>3.1</v>
      </c>
      <c r="B15" s="162" t="s">
        <v>283</v>
      </c>
      <c r="C15" s="49">
        <v>2022</v>
      </c>
      <c r="D15" s="177">
        <v>786118308</v>
      </c>
      <c r="E15" s="177">
        <v>0</v>
      </c>
      <c r="F15" s="178"/>
      <c r="G15" s="175"/>
      <c r="H15" s="162" t="s">
        <v>498</v>
      </c>
    </row>
    <row r="16" spans="1:15" x14ac:dyDescent="0.25">
      <c r="A16" s="34">
        <v>4</v>
      </c>
      <c r="B16" s="31" t="s">
        <v>5</v>
      </c>
      <c r="C16" s="49"/>
      <c r="D16" s="174">
        <f>SUM(D17:D19)</f>
        <v>1420262030</v>
      </c>
      <c r="E16" s="174">
        <f>SUM(E17:E19)</f>
        <v>995213681</v>
      </c>
      <c r="F16" s="174">
        <f>SUM(F17:F19)</f>
        <v>0</v>
      </c>
      <c r="G16" s="174">
        <f>SUM(G17:G19)</f>
        <v>425048349</v>
      </c>
      <c r="H16" s="46"/>
    </row>
    <row r="17" spans="1:13" ht="30" x14ac:dyDescent="0.25">
      <c r="A17" s="52">
        <v>4.0999999999999996</v>
      </c>
      <c r="B17" s="162" t="s">
        <v>399</v>
      </c>
      <c r="C17" s="49">
        <v>2020</v>
      </c>
      <c r="D17" s="177">
        <v>224510680</v>
      </c>
      <c r="E17" s="177">
        <v>179362280</v>
      </c>
      <c r="F17" s="178"/>
      <c r="G17" s="175">
        <f>D17-E17</f>
        <v>45148400</v>
      </c>
      <c r="H17" s="162" t="s">
        <v>329</v>
      </c>
    </row>
    <row r="18" spans="1:13" ht="30" x14ac:dyDescent="0.25">
      <c r="A18" s="52">
        <v>4.2</v>
      </c>
      <c r="B18" s="162" t="s">
        <v>286</v>
      </c>
      <c r="C18" s="49">
        <v>2021</v>
      </c>
      <c r="D18" s="177">
        <v>831961880</v>
      </c>
      <c r="E18" s="177">
        <v>762828840</v>
      </c>
      <c r="F18" s="177"/>
      <c r="G18" s="175">
        <f t="shared" ref="G18:G19" si="0">D18-E18</f>
        <v>69133040</v>
      </c>
      <c r="H18" s="162" t="s">
        <v>329</v>
      </c>
    </row>
    <row r="19" spans="1:13" ht="30" x14ac:dyDescent="0.25">
      <c r="A19" s="52">
        <v>4.3</v>
      </c>
      <c r="B19" s="162" t="s">
        <v>288</v>
      </c>
      <c r="C19" s="49">
        <v>2022</v>
      </c>
      <c r="D19" s="177">
        <v>363789470</v>
      </c>
      <c r="E19" s="177">
        <v>53022561</v>
      </c>
      <c r="F19" s="178"/>
      <c r="G19" s="175">
        <f t="shared" si="0"/>
        <v>310766909</v>
      </c>
      <c r="H19" s="162" t="s">
        <v>329</v>
      </c>
      <c r="M19" s="67">
        <f>D6+D32</f>
        <v>155346978573</v>
      </c>
    </row>
    <row r="20" spans="1:13" x14ac:dyDescent="0.25">
      <c r="A20" s="34">
        <v>5</v>
      </c>
      <c r="B20" s="31" t="s">
        <v>3</v>
      </c>
      <c r="C20" s="49"/>
      <c r="D20" s="176">
        <f>SUM(D21:D25)</f>
        <v>4074672819</v>
      </c>
      <c r="E20" s="176">
        <f>SUM(E21:E25)</f>
        <v>3648775800</v>
      </c>
      <c r="F20" s="176">
        <f>SUM(F21:F25)</f>
        <v>169101377</v>
      </c>
      <c r="G20" s="176">
        <f>SUM(G21:G25)</f>
        <v>256795642</v>
      </c>
      <c r="H20" s="46"/>
    </row>
    <row r="21" spans="1:13" ht="30" x14ac:dyDescent="0.25">
      <c r="A21" s="52">
        <v>5.0999999999999996</v>
      </c>
      <c r="B21" s="162" t="s">
        <v>290</v>
      </c>
      <c r="C21" s="49">
        <v>2020</v>
      </c>
      <c r="D21" s="177">
        <v>873310500</v>
      </c>
      <c r="E21" s="177">
        <v>830213325</v>
      </c>
      <c r="F21" s="177">
        <v>43096200</v>
      </c>
      <c r="G21" s="177">
        <f>D21-E21-F21</f>
        <v>975</v>
      </c>
      <c r="H21" s="162" t="s">
        <v>329</v>
      </c>
    </row>
    <row r="22" spans="1:13" ht="30" x14ac:dyDescent="0.25">
      <c r="A22" s="52">
        <v>5.2</v>
      </c>
      <c r="B22" s="162" t="s">
        <v>291</v>
      </c>
      <c r="C22" s="49">
        <v>2020</v>
      </c>
      <c r="D22" s="177">
        <v>603090600</v>
      </c>
      <c r="E22" s="177">
        <v>571075048</v>
      </c>
      <c r="F22" s="177">
        <v>32014320</v>
      </c>
      <c r="G22" s="177">
        <f t="shared" ref="G22:G25" si="1">D22-E22-F22</f>
        <v>1232</v>
      </c>
      <c r="H22" s="162" t="s">
        <v>329</v>
      </c>
    </row>
    <row r="23" spans="1:13" ht="30" x14ac:dyDescent="0.25">
      <c r="A23" s="52">
        <v>5.3</v>
      </c>
      <c r="B23" s="162" t="s">
        <v>292</v>
      </c>
      <c r="C23" s="49">
        <v>2021</v>
      </c>
      <c r="D23" s="177">
        <v>1142199107</v>
      </c>
      <c r="E23" s="177">
        <v>1046717850</v>
      </c>
      <c r="F23" s="177">
        <v>93990857</v>
      </c>
      <c r="G23" s="177">
        <f t="shared" si="1"/>
        <v>1490400</v>
      </c>
      <c r="H23" s="162" t="s">
        <v>329</v>
      </c>
    </row>
    <row r="24" spans="1:13" ht="30" x14ac:dyDescent="0.25">
      <c r="A24" s="52">
        <v>5.4</v>
      </c>
      <c r="B24" s="162" t="s">
        <v>293</v>
      </c>
      <c r="C24" s="49">
        <v>2022</v>
      </c>
      <c r="D24" s="177">
        <v>1154253639</v>
      </c>
      <c r="E24" s="177">
        <v>1017385670</v>
      </c>
      <c r="F24" s="178"/>
      <c r="G24" s="177">
        <f t="shared" si="1"/>
        <v>136867969</v>
      </c>
      <c r="H24" s="162" t="s">
        <v>329</v>
      </c>
    </row>
    <row r="25" spans="1:13" ht="30" x14ac:dyDescent="0.25">
      <c r="A25" s="52">
        <v>5.5</v>
      </c>
      <c r="B25" s="162" t="s">
        <v>295</v>
      </c>
      <c r="C25" s="49">
        <v>2022</v>
      </c>
      <c r="D25" s="177">
        <v>301818973</v>
      </c>
      <c r="E25" s="177">
        <v>183383907</v>
      </c>
      <c r="F25" s="178"/>
      <c r="G25" s="177">
        <f t="shared" si="1"/>
        <v>118435066</v>
      </c>
      <c r="H25" s="162" t="s">
        <v>329</v>
      </c>
    </row>
    <row r="26" spans="1:13" x14ac:dyDescent="0.25">
      <c r="A26" s="34">
        <v>6</v>
      </c>
      <c r="B26" s="31" t="s">
        <v>9</v>
      </c>
      <c r="C26" s="49"/>
      <c r="D26" s="174">
        <f>SUM(D27:D29)</f>
        <v>1770291342</v>
      </c>
      <c r="E26" s="174">
        <f>SUM(E27:E29)</f>
        <v>1718618740</v>
      </c>
      <c r="F26" s="174">
        <f>SUM(F27:F29)</f>
        <v>25961522</v>
      </c>
      <c r="G26" s="174">
        <f>SUM(G27:G29)</f>
        <v>25711156</v>
      </c>
      <c r="H26" s="46"/>
    </row>
    <row r="27" spans="1:13" ht="30" x14ac:dyDescent="0.25">
      <c r="A27" s="52">
        <v>6.1</v>
      </c>
      <c r="B27" s="162" t="s">
        <v>296</v>
      </c>
      <c r="C27" s="49">
        <v>2020</v>
      </c>
      <c r="D27" s="177">
        <v>552318369</v>
      </c>
      <c r="E27" s="177">
        <v>552215000</v>
      </c>
      <c r="F27" s="177">
        <v>103522</v>
      </c>
      <c r="G27" s="178">
        <v>-77</v>
      </c>
      <c r="H27" s="162" t="s">
        <v>329</v>
      </c>
    </row>
    <row r="28" spans="1:13" ht="30" x14ac:dyDescent="0.25">
      <c r="A28" s="52">
        <v>6.2</v>
      </c>
      <c r="B28" s="162" t="s">
        <v>298</v>
      </c>
      <c r="C28" s="49">
        <v>2021</v>
      </c>
      <c r="D28" s="177">
        <v>500113973</v>
      </c>
      <c r="E28" s="177">
        <v>474256000</v>
      </c>
      <c r="F28" s="177">
        <v>25858000</v>
      </c>
      <c r="G28" s="178">
        <v>-27</v>
      </c>
      <c r="H28" s="162" t="s">
        <v>329</v>
      </c>
    </row>
    <row r="29" spans="1:13" ht="30" x14ac:dyDescent="0.25">
      <c r="A29" s="52">
        <v>6.3</v>
      </c>
      <c r="B29" s="162" t="s">
        <v>300</v>
      </c>
      <c r="C29" s="49">
        <v>2022</v>
      </c>
      <c r="D29" s="177">
        <v>717859000</v>
      </c>
      <c r="E29" s="177">
        <v>692147740</v>
      </c>
      <c r="F29" s="178"/>
      <c r="G29" s="177">
        <f>D29-E29</f>
        <v>25711260</v>
      </c>
      <c r="H29" s="162" t="s">
        <v>329</v>
      </c>
    </row>
    <row r="30" spans="1:13" x14ac:dyDescent="0.25">
      <c r="A30" s="34">
        <v>7</v>
      </c>
      <c r="B30" s="31" t="s">
        <v>11</v>
      </c>
      <c r="C30" s="49"/>
      <c r="D30" s="176">
        <f>D31</f>
        <v>3821510000</v>
      </c>
      <c r="E30" s="176">
        <f>E31</f>
        <v>3642302397</v>
      </c>
      <c r="F30" s="178"/>
      <c r="G30" s="176">
        <f>G31</f>
        <v>179207603</v>
      </c>
      <c r="H30" s="46"/>
    </row>
    <row r="31" spans="1:13" ht="30" x14ac:dyDescent="0.25">
      <c r="A31" s="52">
        <v>21.3</v>
      </c>
      <c r="B31" s="162" t="s">
        <v>302</v>
      </c>
      <c r="C31" s="49">
        <v>2019</v>
      </c>
      <c r="D31" s="175">
        <v>3821510000</v>
      </c>
      <c r="E31" s="175">
        <v>3642302397</v>
      </c>
      <c r="F31" s="175"/>
      <c r="G31" s="175">
        <f>D31-E31</f>
        <v>179207603</v>
      </c>
      <c r="H31" s="162" t="s">
        <v>329</v>
      </c>
    </row>
    <row r="32" spans="1:13" ht="28.5" x14ac:dyDescent="0.25">
      <c r="A32" s="65" t="s">
        <v>324</v>
      </c>
      <c r="B32" s="159" t="s">
        <v>323</v>
      </c>
      <c r="C32" s="65"/>
      <c r="D32" s="173">
        <f>D33+D40+D43+D52+D58+D65+D67+D80+D92+D99+D102+D105+D113+D128+D131+D134+D138+D141+D144+D149+D151</f>
        <v>140807942963</v>
      </c>
      <c r="E32" s="173">
        <f>E33+E40+E43+E52+E58+E65+E67+E80+E92+E99+E102+E105+E113+E128+E131+E134+E138+E141+E144+E149+E151</f>
        <v>135509904002</v>
      </c>
      <c r="F32" s="173">
        <f>F33+F40+F43+F52+F58+F65+F67+F80+F92+F99+F102+F105+F113+F128+F131+F134+F138+F141+F144+F149+F151</f>
        <v>4030975840</v>
      </c>
      <c r="G32" s="173">
        <f>G33+G40+G43+G52+G58+G65+G67+G80+G92+G99+G102+G105+G113+G128+G131+G134+G138+G141+G144+G149+G151</f>
        <v>1263121651</v>
      </c>
      <c r="H32" s="30"/>
      <c r="J32" s="66" t="s">
        <v>393</v>
      </c>
      <c r="K32" s="66" t="s">
        <v>394</v>
      </c>
      <c r="L32" s="67" t="s">
        <v>395</v>
      </c>
    </row>
    <row r="33" spans="1:13" x14ac:dyDescent="0.25">
      <c r="A33" s="34">
        <v>1</v>
      </c>
      <c r="B33" s="31" t="s">
        <v>16</v>
      </c>
      <c r="C33" s="30"/>
      <c r="D33" s="174">
        <f>SUM(D34:D39)</f>
        <v>14240432357</v>
      </c>
      <c r="E33" s="174">
        <f>SUM(E34:E39)</f>
        <v>14219030777</v>
      </c>
      <c r="F33" s="174">
        <f>SUM(F34:F39)</f>
        <v>21401580</v>
      </c>
      <c r="G33" s="174">
        <f>SUM(G34:G39)</f>
        <v>0</v>
      </c>
      <c r="H33" s="162" t="s">
        <v>405</v>
      </c>
      <c r="J33" s="66">
        <v>63</v>
      </c>
      <c r="K33" s="66">
        <v>20</v>
      </c>
      <c r="L33" s="67">
        <v>17</v>
      </c>
      <c r="M33" s="71">
        <f>SUM(J33:L33)</f>
        <v>100</v>
      </c>
    </row>
    <row r="34" spans="1:13" ht="30" x14ac:dyDescent="0.25">
      <c r="A34" s="54">
        <v>1.1000000000000001</v>
      </c>
      <c r="B34" s="162" t="s">
        <v>102</v>
      </c>
      <c r="C34" s="49">
        <v>2014</v>
      </c>
      <c r="D34" s="175">
        <v>423555000</v>
      </c>
      <c r="E34" s="175">
        <v>423555000</v>
      </c>
      <c r="F34" s="175">
        <f>D34-E34</f>
        <v>0</v>
      </c>
      <c r="G34" s="175"/>
      <c r="H34" s="162" t="s">
        <v>320</v>
      </c>
      <c r="I34" s="66">
        <v>0</v>
      </c>
    </row>
    <row r="35" spans="1:13" ht="60" x14ac:dyDescent="0.25">
      <c r="A35" s="54">
        <v>1.2</v>
      </c>
      <c r="B35" s="162" t="s">
        <v>103</v>
      </c>
      <c r="C35" s="49">
        <v>2015</v>
      </c>
      <c r="D35" s="175">
        <v>3371497000</v>
      </c>
      <c r="E35" s="175">
        <v>3371497000</v>
      </c>
      <c r="F35" s="175">
        <f t="shared" ref="F35:F39" si="2">D35-E35</f>
        <v>0</v>
      </c>
      <c r="G35" s="175"/>
      <c r="H35" s="162" t="s">
        <v>320</v>
      </c>
      <c r="I35" s="66">
        <v>0</v>
      </c>
      <c r="L35" s="67">
        <v>4138254905</v>
      </c>
    </row>
    <row r="36" spans="1:13" ht="60" x14ac:dyDescent="0.25">
      <c r="A36" s="54">
        <v>1.3</v>
      </c>
      <c r="B36" s="162" t="s">
        <v>104</v>
      </c>
      <c r="C36" s="49">
        <v>2015</v>
      </c>
      <c r="D36" s="175">
        <v>3388400000</v>
      </c>
      <c r="E36" s="175">
        <v>3388400000</v>
      </c>
      <c r="F36" s="175">
        <f t="shared" si="2"/>
        <v>0</v>
      </c>
      <c r="G36" s="175"/>
      <c r="H36" s="162" t="s">
        <v>320</v>
      </c>
      <c r="I36" s="66">
        <v>0</v>
      </c>
      <c r="L36" s="67">
        <f>F32</f>
        <v>4030975840</v>
      </c>
    </row>
    <row r="37" spans="1:13" ht="60" x14ac:dyDescent="0.25">
      <c r="A37" s="54">
        <v>1.4</v>
      </c>
      <c r="B37" s="162" t="s">
        <v>275</v>
      </c>
      <c r="C37" s="49">
        <v>2016</v>
      </c>
      <c r="D37" s="175">
        <v>5782069848</v>
      </c>
      <c r="E37" s="175">
        <v>5175189661</v>
      </c>
      <c r="F37" s="175">
        <f t="shared" si="2"/>
        <v>606880187</v>
      </c>
      <c r="G37" s="175"/>
      <c r="H37" s="162" t="s">
        <v>320</v>
      </c>
      <c r="I37" s="66">
        <v>0</v>
      </c>
      <c r="L37" s="67">
        <f>L35-L36</f>
        <v>107279065</v>
      </c>
    </row>
    <row r="38" spans="1:13" ht="75" x14ac:dyDescent="0.25">
      <c r="A38" s="54">
        <v>1.5</v>
      </c>
      <c r="B38" s="162" t="s">
        <v>106</v>
      </c>
      <c r="C38" s="49">
        <v>2017</v>
      </c>
      <c r="D38" s="175">
        <v>509439902</v>
      </c>
      <c r="E38" s="175">
        <v>486150914</v>
      </c>
      <c r="F38" s="175">
        <f t="shared" si="2"/>
        <v>23288988</v>
      </c>
      <c r="G38" s="175"/>
      <c r="H38" s="162" t="s">
        <v>320</v>
      </c>
      <c r="I38" s="66">
        <v>0</v>
      </c>
    </row>
    <row r="39" spans="1:13" ht="30" x14ac:dyDescent="0.25">
      <c r="A39" s="54">
        <v>1.6</v>
      </c>
      <c r="B39" s="162" t="s">
        <v>107</v>
      </c>
      <c r="C39" s="49">
        <v>2019</v>
      </c>
      <c r="D39" s="175">
        <v>765470607</v>
      </c>
      <c r="E39" s="175">
        <v>1374238202</v>
      </c>
      <c r="F39" s="175">
        <f t="shared" si="2"/>
        <v>-608767595</v>
      </c>
      <c r="G39" s="175"/>
      <c r="H39" s="162" t="s">
        <v>320</v>
      </c>
      <c r="I39" s="66">
        <v>0</v>
      </c>
    </row>
    <row r="40" spans="1:13" x14ac:dyDescent="0.25">
      <c r="A40" s="34">
        <v>2</v>
      </c>
      <c r="B40" s="31" t="s">
        <v>6</v>
      </c>
      <c r="C40" s="49"/>
      <c r="D40" s="174">
        <f>SUM(D41:D42)</f>
        <v>2183186916</v>
      </c>
      <c r="E40" s="174">
        <f>SUM(E41:E42)</f>
        <v>2179557927</v>
      </c>
      <c r="F40" s="174">
        <f>SUM(F41:F42)</f>
        <v>0</v>
      </c>
      <c r="G40" s="174">
        <f>SUM(G41:G42)</f>
        <v>3628989</v>
      </c>
      <c r="H40" s="162"/>
    </row>
    <row r="41" spans="1:13" ht="60" x14ac:dyDescent="0.25">
      <c r="A41" s="52">
        <v>2.1</v>
      </c>
      <c r="B41" s="162" t="s">
        <v>109</v>
      </c>
      <c r="C41" s="48">
        <v>2015</v>
      </c>
      <c r="D41" s="179">
        <v>1270660068</v>
      </c>
      <c r="E41" s="179">
        <v>1270409812</v>
      </c>
      <c r="F41" s="179"/>
      <c r="G41" s="179">
        <f>D41-E41</f>
        <v>250256</v>
      </c>
      <c r="H41" s="162" t="s">
        <v>326</v>
      </c>
      <c r="I41" s="77">
        <v>1</v>
      </c>
      <c r="J41" s="77"/>
      <c r="K41" s="77"/>
      <c r="L41" s="83"/>
      <c r="M41" s="77"/>
    </row>
    <row r="42" spans="1:13" ht="60" x14ac:dyDescent="0.25">
      <c r="A42" s="52">
        <v>2.2000000000000002</v>
      </c>
      <c r="B42" s="162" t="s">
        <v>108</v>
      </c>
      <c r="C42" s="48">
        <v>2016</v>
      </c>
      <c r="D42" s="179">
        <v>912526848</v>
      </c>
      <c r="E42" s="179">
        <v>909148115</v>
      </c>
      <c r="F42" s="179"/>
      <c r="G42" s="179">
        <f>D42-E42</f>
        <v>3378733</v>
      </c>
      <c r="H42" s="162" t="s">
        <v>367</v>
      </c>
      <c r="I42" s="77">
        <v>1</v>
      </c>
      <c r="J42" s="77"/>
      <c r="K42" s="77"/>
      <c r="L42" s="83"/>
      <c r="M42" s="77"/>
    </row>
    <row r="43" spans="1:13" x14ac:dyDescent="0.25">
      <c r="A43" s="34">
        <v>3</v>
      </c>
      <c r="B43" s="31" t="s">
        <v>13</v>
      </c>
      <c r="C43" s="49"/>
      <c r="D43" s="174">
        <f>SUM(D44:D51)</f>
        <v>10597178674</v>
      </c>
      <c r="E43" s="174">
        <f>SUM(E44:E51)</f>
        <v>10011170159</v>
      </c>
      <c r="F43" s="174">
        <f>SUM(F44:F51)</f>
        <v>506482361</v>
      </c>
      <c r="G43" s="174">
        <f>SUM(G44:G51)</f>
        <v>79526153</v>
      </c>
      <c r="H43" s="162"/>
    </row>
    <row r="44" spans="1:13" ht="30" x14ac:dyDescent="0.25">
      <c r="A44" s="52">
        <v>3.1</v>
      </c>
      <c r="B44" s="162" t="s">
        <v>110</v>
      </c>
      <c r="C44" s="49">
        <v>2015</v>
      </c>
      <c r="D44" s="175">
        <v>800518950</v>
      </c>
      <c r="E44" s="175">
        <v>751112325</v>
      </c>
      <c r="F44" s="175">
        <f>D44-E44</f>
        <v>49406625</v>
      </c>
      <c r="G44" s="175"/>
      <c r="H44" s="162" t="s">
        <v>320</v>
      </c>
      <c r="I44" s="66">
        <v>0</v>
      </c>
    </row>
    <row r="45" spans="1:13" ht="30" x14ac:dyDescent="0.25">
      <c r="A45" s="52">
        <v>3.2</v>
      </c>
      <c r="B45" s="162" t="s">
        <v>114</v>
      </c>
      <c r="C45" s="49">
        <v>2015</v>
      </c>
      <c r="D45" s="175">
        <v>867440640</v>
      </c>
      <c r="E45" s="175">
        <v>813555593</v>
      </c>
      <c r="F45" s="175">
        <f>D45-E45</f>
        <v>53885047</v>
      </c>
      <c r="G45" s="175"/>
      <c r="H45" s="162" t="s">
        <v>320</v>
      </c>
      <c r="I45" s="66">
        <v>0</v>
      </c>
    </row>
    <row r="46" spans="1:13" ht="30" x14ac:dyDescent="0.25">
      <c r="A46" s="52">
        <v>3.3</v>
      </c>
      <c r="B46" s="162" t="s">
        <v>116</v>
      </c>
      <c r="C46" s="49">
        <v>2015</v>
      </c>
      <c r="D46" s="175">
        <v>1926327972</v>
      </c>
      <c r="E46" s="175">
        <v>1798093893</v>
      </c>
      <c r="F46" s="175">
        <f>D46-E46</f>
        <v>128234079</v>
      </c>
      <c r="G46" s="175"/>
      <c r="H46" s="162" t="s">
        <v>320</v>
      </c>
      <c r="I46" s="66">
        <v>0</v>
      </c>
    </row>
    <row r="47" spans="1:13" ht="30" x14ac:dyDescent="0.25">
      <c r="A47" s="52">
        <v>3.4</v>
      </c>
      <c r="B47" s="162" t="s">
        <v>118</v>
      </c>
      <c r="C47" s="49">
        <v>2016</v>
      </c>
      <c r="D47" s="175">
        <v>2525613109</v>
      </c>
      <c r="E47" s="175">
        <v>2380661328</v>
      </c>
      <c r="F47" s="175">
        <v>110599603</v>
      </c>
      <c r="G47" s="175">
        <v>34352177</v>
      </c>
      <c r="H47" s="162" t="s">
        <v>320</v>
      </c>
      <c r="I47" s="66">
        <v>0</v>
      </c>
    </row>
    <row r="48" spans="1:13" ht="30" x14ac:dyDescent="0.25">
      <c r="A48" s="52">
        <v>3.5</v>
      </c>
      <c r="B48" s="162" t="s">
        <v>120</v>
      </c>
      <c r="C48" s="49">
        <v>2017</v>
      </c>
      <c r="D48" s="175">
        <v>1402737912</v>
      </c>
      <c r="E48" s="175">
        <v>1304913805</v>
      </c>
      <c r="F48" s="175">
        <v>50996370</v>
      </c>
      <c r="G48" s="175">
        <f>D48-E48-F48</f>
        <v>46827737</v>
      </c>
      <c r="H48" s="162" t="s">
        <v>320</v>
      </c>
      <c r="I48" s="66">
        <v>0</v>
      </c>
    </row>
    <row r="49" spans="1:13" ht="60" x14ac:dyDescent="0.25">
      <c r="A49" s="52">
        <v>3.6</v>
      </c>
      <c r="B49" s="162" t="s">
        <v>122</v>
      </c>
      <c r="C49" s="48">
        <v>2018</v>
      </c>
      <c r="D49" s="179">
        <v>443660003</v>
      </c>
      <c r="E49" s="179">
        <v>360865251</v>
      </c>
      <c r="F49" s="179">
        <v>84493513</v>
      </c>
      <c r="G49" s="179">
        <v>-1698761</v>
      </c>
      <c r="H49" s="162" t="s">
        <v>327</v>
      </c>
      <c r="I49" s="77">
        <v>1</v>
      </c>
      <c r="J49" s="77"/>
      <c r="K49" s="77"/>
      <c r="L49" s="83"/>
      <c r="M49" s="77"/>
    </row>
    <row r="50" spans="1:13" ht="60" x14ac:dyDescent="0.25">
      <c r="A50" s="52">
        <v>3.7</v>
      </c>
      <c r="B50" s="162" t="s">
        <v>124</v>
      </c>
      <c r="C50" s="48">
        <v>2018</v>
      </c>
      <c r="D50" s="179">
        <v>326700168</v>
      </c>
      <c r="E50" s="179">
        <v>297833044</v>
      </c>
      <c r="F50" s="179">
        <f>D50-E50</f>
        <v>28867124</v>
      </c>
      <c r="G50" s="179"/>
      <c r="H50" s="162" t="s">
        <v>328</v>
      </c>
      <c r="I50" s="77">
        <v>1</v>
      </c>
      <c r="J50" s="77"/>
      <c r="K50" s="77"/>
      <c r="L50" s="83"/>
      <c r="M50" s="77"/>
    </row>
    <row r="51" spans="1:13" ht="30" x14ac:dyDescent="0.25">
      <c r="A51" s="52">
        <v>3.8</v>
      </c>
      <c r="B51" s="162" t="s">
        <v>126</v>
      </c>
      <c r="C51" s="49">
        <v>2019</v>
      </c>
      <c r="D51" s="175">
        <v>2304179920</v>
      </c>
      <c r="E51" s="175">
        <v>2304134920</v>
      </c>
      <c r="F51" s="175"/>
      <c r="G51" s="175">
        <f t="shared" ref="G51" si="3">D51-E51</f>
        <v>45000</v>
      </c>
      <c r="H51" s="162" t="s">
        <v>320</v>
      </c>
      <c r="I51" s="66">
        <v>0</v>
      </c>
    </row>
    <row r="52" spans="1:13" ht="28.5" x14ac:dyDescent="0.25">
      <c r="A52" s="34">
        <v>4</v>
      </c>
      <c r="B52" s="31" t="s">
        <v>92</v>
      </c>
      <c r="C52" s="49"/>
      <c r="D52" s="174">
        <f>SUM(D53:D57)</f>
        <v>7169579305</v>
      </c>
      <c r="E52" s="174">
        <f>SUM(E53:E57)</f>
        <v>6791386201</v>
      </c>
      <c r="F52" s="174">
        <f>SUM(F53:F57)</f>
        <v>0</v>
      </c>
      <c r="G52" s="174">
        <f>SUM(G53:G57)</f>
        <v>378193104</v>
      </c>
      <c r="H52" s="162"/>
    </row>
    <row r="53" spans="1:13" ht="45" x14ac:dyDescent="0.25">
      <c r="A53" s="52">
        <v>4.0999999999999996</v>
      </c>
      <c r="B53" s="162" t="s">
        <v>128</v>
      </c>
      <c r="C53" s="49">
        <v>2015</v>
      </c>
      <c r="D53" s="175">
        <v>847110000</v>
      </c>
      <c r="E53" s="175">
        <v>788659410</v>
      </c>
      <c r="F53" s="175"/>
      <c r="G53" s="175">
        <f>D53-E53</f>
        <v>58450590</v>
      </c>
      <c r="H53" s="162" t="s">
        <v>320</v>
      </c>
      <c r="I53" s="66">
        <v>0</v>
      </c>
    </row>
    <row r="54" spans="1:13" ht="45" x14ac:dyDescent="0.25">
      <c r="A54" s="52">
        <v>4.2</v>
      </c>
      <c r="B54" s="162" t="s">
        <v>130</v>
      </c>
      <c r="C54" s="49">
        <v>2015</v>
      </c>
      <c r="D54" s="175">
        <v>2515190900</v>
      </c>
      <c r="E54" s="175">
        <v>2393085750</v>
      </c>
      <c r="F54" s="175"/>
      <c r="G54" s="175">
        <f t="shared" ref="G54:G57" si="4">D54-E54</f>
        <v>122105150</v>
      </c>
      <c r="H54" s="162" t="s">
        <v>320</v>
      </c>
      <c r="I54" s="66">
        <v>0</v>
      </c>
    </row>
    <row r="55" spans="1:13" ht="30" x14ac:dyDescent="0.25">
      <c r="A55" s="52">
        <v>4.3</v>
      </c>
      <c r="B55" s="162" t="s">
        <v>132</v>
      </c>
      <c r="C55" s="49">
        <v>2016</v>
      </c>
      <c r="D55" s="175">
        <v>2861769766</v>
      </c>
      <c r="E55" s="175">
        <v>2512678532</v>
      </c>
      <c r="F55" s="175"/>
      <c r="G55" s="175">
        <f t="shared" si="4"/>
        <v>349091234</v>
      </c>
      <c r="H55" s="162" t="s">
        <v>320</v>
      </c>
      <c r="I55" s="66">
        <v>0</v>
      </c>
    </row>
    <row r="56" spans="1:13" ht="30" x14ac:dyDescent="0.25">
      <c r="A56" s="52">
        <v>4.4000000000000004</v>
      </c>
      <c r="B56" s="162" t="s">
        <v>134</v>
      </c>
      <c r="C56" s="49">
        <v>2017</v>
      </c>
      <c r="D56" s="175">
        <v>417928800</v>
      </c>
      <c r="E56" s="175">
        <v>472676690</v>
      </c>
      <c r="F56" s="175"/>
      <c r="G56" s="175">
        <f t="shared" si="4"/>
        <v>-54747890</v>
      </c>
      <c r="H56" s="162" t="s">
        <v>320</v>
      </c>
      <c r="I56" s="66">
        <v>0</v>
      </c>
    </row>
    <row r="57" spans="1:13" ht="30" x14ac:dyDescent="0.25">
      <c r="A57" s="52">
        <v>4.5</v>
      </c>
      <c r="B57" s="162" t="s">
        <v>136</v>
      </c>
      <c r="C57" s="49">
        <v>2018</v>
      </c>
      <c r="D57" s="175">
        <v>527579839</v>
      </c>
      <c r="E57" s="175">
        <v>624285819</v>
      </c>
      <c r="F57" s="175"/>
      <c r="G57" s="175">
        <f t="shared" si="4"/>
        <v>-96705980</v>
      </c>
      <c r="H57" s="162" t="s">
        <v>320</v>
      </c>
      <c r="I57" s="66">
        <v>0</v>
      </c>
    </row>
    <row r="58" spans="1:13" x14ac:dyDescent="0.25">
      <c r="A58" s="34">
        <v>5</v>
      </c>
      <c r="B58" s="31" t="s">
        <v>7</v>
      </c>
      <c r="C58" s="49"/>
      <c r="D58" s="174">
        <f>SUM(D59:D64)</f>
        <v>15156831595</v>
      </c>
      <c r="E58" s="174">
        <f>SUM(E59:E64)</f>
        <v>13269125248</v>
      </c>
      <c r="F58" s="174">
        <f>SUM(F59:F64)</f>
        <v>1787441241</v>
      </c>
      <c r="G58" s="174">
        <f>SUM(G59:G64)</f>
        <v>100265106</v>
      </c>
      <c r="H58" s="162"/>
      <c r="K58" s="66">
        <v>1699657407</v>
      </c>
      <c r="L58" s="67">
        <v>294983087</v>
      </c>
    </row>
    <row r="59" spans="1:13" ht="60" x14ac:dyDescent="0.25">
      <c r="A59" s="52">
        <v>5.0999999999999996</v>
      </c>
      <c r="B59" s="162" t="s">
        <v>137</v>
      </c>
      <c r="C59" s="49">
        <v>2015</v>
      </c>
      <c r="D59" s="175">
        <v>525208000</v>
      </c>
      <c r="E59" s="175">
        <v>472731648</v>
      </c>
      <c r="F59" s="175">
        <f>D59-E59</f>
        <v>52476352</v>
      </c>
      <c r="G59" s="175">
        <f>D59-E59-F59</f>
        <v>0</v>
      </c>
      <c r="H59" s="162" t="s">
        <v>330</v>
      </c>
      <c r="I59" s="66">
        <v>2</v>
      </c>
      <c r="K59" s="66">
        <v>1647441241</v>
      </c>
      <c r="L59" s="67">
        <v>240265106</v>
      </c>
    </row>
    <row r="60" spans="1:13" ht="60" x14ac:dyDescent="0.25">
      <c r="A60" s="52">
        <v>5.2</v>
      </c>
      <c r="B60" s="162" t="s">
        <v>138</v>
      </c>
      <c r="C60" s="48">
        <v>2016</v>
      </c>
      <c r="D60" s="179">
        <v>3190702400</v>
      </c>
      <c r="E60" s="179">
        <v>3015163585</v>
      </c>
      <c r="F60" s="179">
        <f>D60-E60</f>
        <v>175538815</v>
      </c>
      <c r="G60" s="179">
        <f t="shared" ref="G60:G64" si="5">D60-E60-F60</f>
        <v>0</v>
      </c>
      <c r="H60" s="162" t="s">
        <v>333</v>
      </c>
      <c r="I60" s="77">
        <v>1</v>
      </c>
      <c r="J60" s="77"/>
      <c r="K60" s="77">
        <f>K58-K59</f>
        <v>52216166</v>
      </c>
      <c r="L60" s="83">
        <f>L58-L59</f>
        <v>54717981</v>
      </c>
      <c r="M60" s="77">
        <f>K60-L60</f>
        <v>-2501815</v>
      </c>
    </row>
    <row r="61" spans="1:13" ht="75" x14ac:dyDescent="0.25">
      <c r="A61" s="52">
        <v>5.3</v>
      </c>
      <c r="B61" s="162" t="s">
        <v>140</v>
      </c>
      <c r="C61" s="48">
        <v>2016</v>
      </c>
      <c r="D61" s="179">
        <v>1385152900</v>
      </c>
      <c r="E61" s="179">
        <v>1309311460</v>
      </c>
      <c r="F61" s="179">
        <f>66912764+8928676</f>
        <v>75841440</v>
      </c>
      <c r="G61" s="179">
        <f t="shared" si="5"/>
        <v>0</v>
      </c>
      <c r="H61" s="162" t="s">
        <v>331</v>
      </c>
      <c r="I61" s="77">
        <v>1</v>
      </c>
      <c r="J61" s="77"/>
      <c r="K61" s="83">
        <f>D61-E61</f>
        <v>75841440</v>
      </c>
      <c r="L61" s="83"/>
      <c r="M61" s="77"/>
    </row>
    <row r="62" spans="1:13" ht="60" x14ac:dyDescent="0.25">
      <c r="A62" s="52">
        <v>5.4</v>
      </c>
      <c r="B62" s="162" t="s">
        <v>141</v>
      </c>
      <c r="C62" s="48">
        <v>2017</v>
      </c>
      <c r="D62" s="179">
        <v>4917013310</v>
      </c>
      <c r="E62" s="179">
        <v>4679888583</v>
      </c>
      <c r="F62" s="179">
        <f>91350610+131071324</f>
        <v>222421934</v>
      </c>
      <c r="G62" s="179">
        <f t="shared" si="5"/>
        <v>14702793</v>
      </c>
      <c r="H62" s="162" t="s">
        <v>332</v>
      </c>
      <c r="I62" s="77">
        <v>1</v>
      </c>
      <c r="J62" s="77"/>
      <c r="K62" s="77"/>
      <c r="L62" s="83"/>
      <c r="M62" s="77"/>
    </row>
    <row r="63" spans="1:13" ht="30" x14ac:dyDescent="0.25">
      <c r="A63" s="52">
        <v>5.5</v>
      </c>
      <c r="B63" s="162" t="s">
        <v>143</v>
      </c>
      <c r="C63" s="49">
        <v>2018</v>
      </c>
      <c r="D63" s="175">
        <v>4332988948</v>
      </c>
      <c r="E63" s="175">
        <v>3223790263</v>
      </c>
      <c r="F63" s="175">
        <v>1081781003</v>
      </c>
      <c r="G63" s="175">
        <f t="shared" si="5"/>
        <v>27417682</v>
      </c>
      <c r="H63" s="162" t="s">
        <v>320</v>
      </c>
      <c r="I63" s="66">
        <v>0</v>
      </c>
    </row>
    <row r="64" spans="1:13" ht="30" x14ac:dyDescent="0.25">
      <c r="A64" s="52">
        <v>5.6</v>
      </c>
      <c r="B64" s="162" t="s">
        <v>145</v>
      </c>
      <c r="C64" s="49">
        <v>2019</v>
      </c>
      <c r="D64" s="175">
        <v>805766037</v>
      </c>
      <c r="E64" s="175">
        <v>568239709</v>
      </c>
      <c r="F64" s="175">
        <v>179381697</v>
      </c>
      <c r="G64" s="175">
        <f t="shared" si="5"/>
        <v>58144631</v>
      </c>
      <c r="H64" s="162" t="s">
        <v>320</v>
      </c>
      <c r="I64" s="66">
        <v>0</v>
      </c>
    </row>
    <row r="65" spans="1:9" ht="28.5" x14ac:dyDescent="0.25">
      <c r="A65" s="34">
        <v>6</v>
      </c>
      <c r="B65" s="31" t="s">
        <v>93</v>
      </c>
      <c r="C65" s="49"/>
      <c r="D65" s="174">
        <f>D66</f>
        <v>195959380</v>
      </c>
      <c r="E65" s="174">
        <f>E66</f>
        <v>174773086</v>
      </c>
      <c r="F65" s="174">
        <f t="shared" ref="F65:G65" si="6">F66</f>
        <v>21186294</v>
      </c>
      <c r="G65" s="174">
        <f t="shared" si="6"/>
        <v>0</v>
      </c>
      <c r="H65" s="162"/>
    </row>
    <row r="66" spans="1:9" ht="45" x14ac:dyDescent="0.25">
      <c r="A66" s="52">
        <v>6.1</v>
      </c>
      <c r="B66" s="162" t="s">
        <v>147</v>
      </c>
      <c r="C66" s="49">
        <v>2015</v>
      </c>
      <c r="D66" s="175">
        <v>195959380</v>
      </c>
      <c r="E66" s="175">
        <v>174773086</v>
      </c>
      <c r="F66" s="175">
        <f>D66-E66</f>
        <v>21186294</v>
      </c>
      <c r="G66" s="175"/>
      <c r="H66" s="162" t="s">
        <v>320</v>
      </c>
      <c r="I66" s="66">
        <v>0</v>
      </c>
    </row>
    <row r="67" spans="1:9" x14ac:dyDescent="0.25">
      <c r="A67" s="34">
        <v>7</v>
      </c>
      <c r="B67" s="31" t="s">
        <v>95</v>
      </c>
      <c r="C67" s="49"/>
      <c r="D67" s="174">
        <f>SUM(D68:D79)</f>
        <v>8907692380</v>
      </c>
      <c r="E67" s="174">
        <f>SUM(E68:E79)</f>
        <v>8060737813</v>
      </c>
      <c r="F67" s="174">
        <f>SUM(F68:F79)</f>
        <v>647600225</v>
      </c>
      <c r="G67" s="174">
        <f>SUM(G68:G79)</f>
        <v>199354342</v>
      </c>
      <c r="H67" s="162"/>
    </row>
    <row r="68" spans="1:9" ht="30" x14ac:dyDescent="0.25">
      <c r="A68" s="52">
        <v>7.1</v>
      </c>
      <c r="B68" s="162" t="s">
        <v>148</v>
      </c>
      <c r="C68" s="49">
        <v>2014</v>
      </c>
      <c r="D68" s="175">
        <v>1494302120</v>
      </c>
      <c r="E68" s="175">
        <v>1428742005</v>
      </c>
      <c r="F68" s="175">
        <f>D68-E68</f>
        <v>65560115</v>
      </c>
      <c r="G68" s="175">
        <f t="shared" ref="G68:G79" si="7">D68-E68-F68</f>
        <v>0</v>
      </c>
      <c r="H68" s="162" t="s">
        <v>320</v>
      </c>
      <c r="I68" s="66">
        <v>0</v>
      </c>
    </row>
    <row r="69" spans="1:9" ht="30" x14ac:dyDescent="0.25">
      <c r="A69" s="52">
        <v>7.2</v>
      </c>
      <c r="B69" s="162" t="s">
        <v>150</v>
      </c>
      <c r="C69" s="49">
        <v>2015</v>
      </c>
      <c r="D69" s="175">
        <v>1270665000</v>
      </c>
      <c r="E69" s="175">
        <v>1215157906</v>
      </c>
      <c r="F69" s="175">
        <v>49906964</v>
      </c>
      <c r="G69" s="175">
        <f t="shared" si="7"/>
        <v>5600130</v>
      </c>
      <c r="H69" s="162" t="s">
        <v>320</v>
      </c>
      <c r="I69" s="66">
        <v>0</v>
      </c>
    </row>
    <row r="70" spans="1:9" ht="30" x14ac:dyDescent="0.25">
      <c r="A70" s="52">
        <v>7.3</v>
      </c>
      <c r="B70" s="162" t="s">
        <v>151</v>
      </c>
      <c r="C70" s="49">
        <v>2015</v>
      </c>
      <c r="D70" s="175">
        <v>811976131</v>
      </c>
      <c r="E70" s="175">
        <v>778951042</v>
      </c>
      <c r="F70" s="175">
        <v>18884208</v>
      </c>
      <c r="G70" s="175">
        <f t="shared" si="7"/>
        <v>14140881</v>
      </c>
      <c r="H70" s="162" t="s">
        <v>320</v>
      </c>
      <c r="I70" s="66">
        <v>0</v>
      </c>
    </row>
    <row r="71" spans="1:9" ht="30" x14ac:dyDescent="0.25">
      <c r="A71" s="52">
        <v>7.4</v>
      </c>
      <c r="B71" s="162" t="s">
        <v>152</v>
      </c>
      <c r="C71" s="49">
        <v>2015</v>
      </c>
      <c r="D71" s="175">
        <v>1099548695</v>
      </c>
      <c r="E71" s="175">
        <v>1051516640</v>
      </c>
      <c r="F71" s="175">
        <v>25533208</v>
      </c>
      <c r="G71" s="175">
        <f t="shared" si="7"/>
        <v>22498847</v>
      </c>
      <c r="H71" s="162" t="s">
        <v>320</v>
      </c>
      <c r="I71" s="66">
        <v>0</v>
      </c>
    </row>
    <row r="72" spans="1:9" ht="30" x14ac:dyDescent="0.25">
      <c r="A72" s="52">
        <v>7.5</v>
      </c>
      <c r="B72" s="162" t="s">
        <v>153</v>
      </c>
      <c r="C72" s="49">
        <v>2015</v>
      </c>
      <c r="D72" s="175">
        <v>2008497282</v>
      </c>
      <c r="E72" s="175">
        <v>1920759069</v>
      </c>
      <c r="F72" s="175">
        <v>46640534</v>
      </c>
      <c r="G72" s="175">
        <f t="shared" si="7"/>
        <v>41097679</v>
      </c>
      <c r="H72" s="162" t="s">
        <v>320</v>
      </c>
      <c r="I72" s="66">
        <v>0</v>
      </c>
    </row>
    <row r="73" spans="1:9" ht="30" x14ac:dyDescent="0.25">
      <c r="A73" s="52">
        <v>7.6</v>
      </c>
      <c r="B73" s="162" t="s">
        <v>154</v>
      </c>
      <c r="C73" s="49">
        <v>2015</v>
      </c>
      <c r="D73" s="175">
        <v>633686500</v>
      </c>
      <c r="E73" s="175">
        <v>623310848</v>
      </c>
      <c r="F73" s="175">
        <v>20386091</v>
      </c>
      <c r="G73" s="175">
        <f t="shared" si="7"/>
        <v>-10010439</v>
      </c>
      <c r="H73" s="162" t="s">
        <v>320</v>
      </c>
      <c r="I73" s="66">
        <v>0</v>
      </c>
    </row>
    <row r="74" spans="1:9" ht="30" x14ac:dyDescent="0.25">
      <c r="A74" s="52">
        <v>7.7</v>
      </c>
      <c r="B74" s="162" t="s">
        <v>155</v>
      </c>
      <c r="C74" s="49">
        <v>2015</v>
      </c>
      <c r="D74" s="175">
        <v>372052620</v>
      </c>
      <c r="E74" s="175">
        <v>370198280</v>
      </c>
      <c r="F74" s="175">
        <v>11579260</v>
      </c>
      <c r="G74" s="175">
        <f t="shared" si="7"/>
        <v>-9724920</v>
      </c>
      <c r="H74" s="162" t="s">
        <v>320</v>
      </c>
      <c r="I74" s="66">
        <v>0</v>
      </c>
    </row>
    <row r="75" spans="1:9" ht="30" x14ac:dyDescent="0.25">
      <c r="A75" s="52">
        <v>7.8</v>
      </c>
      <c r="B75" s="162" t="s">
        <v>156</v>
      </c>
      <c r="C75" s="49">
        <v>2016</v>
      </c>
      <c r="D75" s="175">
        <v>286192662</v>
      </c>
      <c r="E75" s="175">
        <v>200911789</v>
      </c>
      <c r="F75" s="175">
        <v>85817805</v>
      </c>
      <c r="G75" s="175">
        <f t="shared" si="7"/>
        <v>-536932</v>
      </c>
      <c r="H75" s="162" t="s">
        <v>320</v>
      </c>
      <c r="I75" s="66">
        <v>0</v>
      </c>
    </row>
    <row r="76" spans="1:9" ht="30" x14ac:dyDescent="0.25">
      <c r="A76" s="52">
        <v>7.9</v>
      </c>
      <c r="B76" s="162" t="s">
        <v>158</v>
      </c>
      <c r="C76" s="49">
        <v>2016</v>
      </c>
      <c r="D76" s="175">
        <v>219004270</v>
      </c>
      <c r="E76" s="175">
        <v>132695124</v>
      </c>
      <c r="F76" s="175">
        <v>55406361</v>
      </c>
      <c r="G76" s="175">
        <f t="shared" si="7"/>
        <v>30902785</v>
      </c>
      <c r="H76" s="162" t="s">
        <v>320</v>
      </c>
      <c r="I76" s="66">
        <v>0</v>
      </c>
    </row>
    <row r="77" spans="1:9" ht="30" x14ac:dyDescent="0.25">
      <c r="A77" s="53">
        <v>7.1</v>
      </c>
      <c r="B77" s="162" t="s">
        <v>160</v>
      </c>
      <c r="C77" s="49">
        <v>2017</v>
      </c>
      <c r="D77" s="175">
        <v>255183500</v>
      </c>
      <c r="E77" s="175">
        <v>22357079</v>
      </c>
      <c r="F77" s="175">
        <v>232826421</v>
      </c>
      <c r="G77" s="175">
        <f t="shared" si="7"/>
        <v>0</v>
      </c>
      <c r="H77" s="162" t="s">
        <v>320</v>
      </c>
      <c r="I77" s="66">
        <v>0</v>
      </c>
    </row>
    <row r="78" spans="1:9" ht="30" x14ac:dyDescent="0.25">
      <c r="A78" s="52">
        <v>7.11</v>
      </c>
      <c r="B78" s="162" t="s">
        <v>161</v>
      </c>
      <c r="C78" s="49">
        <v>2017</v>
      </c>
      <c r="D78" s="175">
        <v>346585600</v>
      </c>
      <c r="E78" s="175">
        <v>206140031</v>
      </c>
      <c r="F78" s="175">
        <v>25806814</v>
      </c>
      <c r="G78" s="175">
        <f t="shared" si="7"/>
        <v>114638755</v>
      </c>
      <c r="H78" s="162" t="s">
        <v>320</v>
      </c>
      <c r="I78" s="66">
        <v>0</v>
      </c>
    </row>
    <row r="79" spans="1:9" ht="30" x14ac:dyDescent="0.25">
      <c r="A79" s="52">
        <v>7.12</v>
      </c>
      <c r="B79" s="162" t="s">
        <v>162</v>
      </c>
      <c r="C79" s="49">
        <v>2019</v>
      </c>
      <c r="D79" s="175">
        <v>109998000</v>
      </c>
      <c r="E79" s="175">
        <v>109998000</v>
      </c>
      <c r="F79" s="175">
        <v>9252444</v>
      </c>
      <c r="G79" s="175">
        <f t="shared" si="7"/>
        <v>-9252444</v>
      </c>
      <c r="H79" s="162" t="s">
        <v>320</v>
      </c>
      <c r="I79" s="66">
        <v>0</v>
      </c>
    </row>
    <row r="80" spans="1:9" x14ac:dyDescent="0.25">
      <c r="A80" s="34">
        <v>8</v>
      </c>
      <c r="B80" s="31" t="s">
        <v>5</v>
      </c>
      <c r="C80" s="49"/>
      <c r="D80" s="174">
        <f>SUM(D81:D91)</f>
        <v>9298039420</v>
      </c>
      <c r="E80" s="174">
        <f>SUM(E81:E91)</f>
        <v>9256234501</v>
      </c>
      <c r="F80" s="174">
        <f>SUM(F81:F91)</f>
        <v>33656080</v>
      </c>
      <c r="G80" s="174">
        <f>SUM(G81:G91)</f>
        <v>8148839</v>
      </c>
      <c r="H80" s="162"/>
    </row>
    <row r="81" spans="1:13" ht="45" x14ac:dyDescent="0.25">
      <c r="A81" s="52">
        <v>8.1</v>
      </c>
      <c r="B81" s="162" t="s">
        <v>164</v>
      </c>
      <c r="C81" s="49">
        <v>2014</v>
      </c>
      <c r="D81" s="175">
        <v>1016532000</v>
      </c>
      <c r="E81" s="175">
        <v>1016532000</v>
      </c>
      <c r="F81" s="175"/>
      <c r="G81" s="175">
        <f>D81-E81-F81</f>
        <v>0</v>
      </c>
      <c r="H81" s="162" t="s">
        <v>320</v>
      </c>
      <c r="I81" s="66">
        <v>0</v>
      </c>
    </row>
    <row r="82" spans="1:13" ht="30" x14ac:dyDescent="0.25">
      <c r="A82" s="52">
        <v>8.1999999999999993</v>
      </c>
      <c r="B82" s="162" t="s">
        <v>166</v>
      </c>
      <c r="C82" s="49">
        <v>2015</v>
      </c>
      <c r="D82" s="175">
        <v>847110000</v>
      </c>
      <c r="E82" s="175">
        <v>847110000</v>
      </c>
      <c r="F82" s="175"/>
      <c r="G82" s="175">
        <f t="shared" ref="G82:G91" si="8">D82-E82-F82</f>
        <v>0</v>
      </c>
      <c r="H82" s="162" t="s">
        <v>320</v>
      </c>
      <c r="I82" s="66">
        <v>0</v>
      </c>
    </row>
    <row r="83" spans="1:13" ht="30" x14ac:dyDescent="0.25">
      <c r="A83" s="52">
        <v>8.3000000000000007</v>
      </c>
      <c r="B83" s="162" t="s">
        <v>168</v>
      </c>
      <c r="C83" s="49">
        <v>2015</v>
      </c>
      <c r="D83" s="175">
        <v>931821000</v>
      </c>
      <c r="E83" s="175">
        <v>931821000</v>
      </c>
      <c r="F83" s="175"/>
      <c r="G83" s="175">
        <f t="shared" si="8"/>
        <v>0</v>
      </c>
      <c r="H83" s="162" t="s">
        <v>320</v>
      </c>
      <c r="I83" s="66">
        <v>0</v>
      </c>
    </row>
    <row r="84" spans="1:13" ht="30" x14ac:dyDescent="0.25">
      <c r="A84" s="52">
        <v>8.4</v>
      </c>
      <c r="B84" s="162" t="s">
        <v>170</v>
      </c>
      <c r="C84" s="49">
        <v>2016</v>
      </c>
      <c r="D84" s="175">
        <v>80845000</v>
      </c>
      <c r="E84" s="175">
        <v>80845000</v>
      </c>
      <c r="F84" s="175"/>
      <c r="G84" s="175">
        <f t="shared" si="8"/>
        <v>0</v>
      </c>
      <c r="H84" s="162" t="s">
        <v>320</v>
      </c>
      <c r="I84" s="66">
        <v>0</v>
      </c>
    </row>
    <row r="85" spans="1:13" ht="30" x14ac:dyDescent="0.25">
      <c r="A85" s="52">
        <v>8.5</v>
      </c>
      <c r="B85" s="162" t="s">
        <v>172</v>
      </c>
      <c r="C85" s="49">
        <v>2016</v>
      </c>
      <c r="D85" s="175">
        <v>2322421730</v>
      </c>
      <c r="E85" s="175">
        <v>2322421730</v>
      </c>
      <c r="F85" s="175"/>
      <c r="G85" s="175">
        <f t="shared" si="8"/>
        <v>0</v>
      </c>
      <c r="H85" s="162" t="s">
        <v>320</v>
      </c>
      <c r="I85" s="66">
        <v>0</v>
      </c>
    </row>
    <row r="86" spans="1:13" ht="30" x14ac:dyDescent="0.25">
      <c r="A86" s="52">
        <v>8.6</v>
      </c>
      <c r="B86" s="162" t="s">
        <v>174</v>
      </c>
      <c r="C86" s="49">
        <v>2017</v>
      </c>
      <c r="D86" s="175">
        <v>958288660</v>
      </c>
      <c r="E86" s="175">
        <v>958288660</v>
      </c>
      <c r="F86" s="175"/>
      <c r="G86" s="175">
        <f t="shared" si="8"/>
        <v>0</v>
      </c>
      <c r="H86" s="162" t="s">
        <v>320</v>
      </c>
      <c r="I86" s="66">
        <v>0</v>
      </c>
    </row>
    <row r="87" spans="1:13" ht="30" x14ac:dyDescent="0.25">
      <c r="A87" s="52">
        <v>8.6999999999999993</v>
      </c>
      <c r="B87" s="162" t="s">
        <v>175</v>
      </c>
      <c r="C87" s="49">
        <v>2017</v>
      </c>
      <c r="D87" s="175">
        <v>278382000</v>
      </c>
      <c r="E87" s="175">
        <v>278382000</v>
      </c>
      <c r="F87" s="175"/>
      <c r="G87" s="175">
        <f t="shared" si="8"/>
        <v>0</v>
      </c>
      <c r="H87" s="162" t="s">
        <v>320</v>
      </c>
      <c r="I87" s="66">
        <v>0</v>
      </c>
    </row>
    <row r="88" spans="1:13" ht="30" x14ac:dyDescent="0.25">
      <c r="A88" s="52">
        <v>8.8000000000000007</v>
      </c>
      <c r="B88" s="162" t="s">
        <v>177</v>
      </c>
      <c r="C88" s="49">
        <v>2017</v>
      </c>
      <c r="D88" s="175">
        <v>818695430</v>
      </c>
      <c r="E88" s="175">
        <v>818695430</v>
      </c>
      <c r="F88" s="175"/>
      <c r="G88" s="175">
        <f t="shared" si="8"/>
        <v>0</v>
      </c>
      <c r="H88" s="162" t="s">
        <v>320</v>
      </c>
      <c r="I88" s="66">
        <v>0</v>
      </c>
    </row>
    <row r="89" spans="1:13" ht="30" x14ac:dyDescent="0.25">
      <c r="A89" s="52">
        <v>8.9</v>
      </c>
      <c r="B89" s="162" t="s">
        <v>178</v>
      </c>
      <c r="C89" s="49">
        <v>2018</v>
      </c>
      <c r="D89" s="175">
        <v>1352272600</v>
      </c>
      <c r="E89" s="175">
        <v>1314147104</v>
      </c>
      <c r="F89" s="175">
        <v>33656080</v>
      </c>
      <c r="G89" s="175">
        <f t="shared" si="8"/>
        <v>4469416</v>
      </c>
      <c r="H89" s="162" t="s">
        <v>320</v>
      </c>
      <c r="I89" s="66">
        <v>0</v>
      </c>
    </row>
    <row r="90" spans="1:13" ht="30" x14ac:dyDescent="0.25">
      <c r="A90" s="53">
        <v>8.1</v>
      </c>
      <c r="B90" s="162" t="s">
        <v>179</v>
      </c>
      <c r="C90" s="49">
        <v>2019</v>
      </c>
      <c r="D90" s="175">
        <v>399907500</v>
      </c>
      <c r="E90" s="175">
        <v>397780146</v>
      </c>
      <c r="F90" s="175"/>
      <c r="G90" s="175">
        <f t="shared" si="8"/>
        <v>2127354</v>
      </c>
      <c r="H90" s="162" t="s">
        <v>320</v>
      </c>
      <c r="I90" s="66">
        <v>0</v>
      </c>
    </row>
    <row r="91" spans="1:13" ht="30" x14ac:dyDescent="0.25">
      <c r="A91" s="52">
        <v>8.11</v>
      </c>
      <c r="B91" s="162" t="s">
        <v>181</v>
      </c>
      <c r="C91" s="49">
        <v>2019</v>
      </c>
      <c r="D91" s="175">
        <v>291763500</v>
      </c>
      <c r="E91" s="175">
        <v>290211431</v>
      </c>
      <c r="F91" s="175"/>
      <c r="G91" s="175">
        <f t="shared" si="8"/>
        <v>1552069</v>
      </c>
      <c r="H91" s="162" t="s">
        <v>320</v>
      </c>
      <c r="I91" s="66">
        <v>0</v>
      </c>
    </row>
    <row r="92" spans="1:13" x14ac:dyDescent="0.25">
      <c r="A92" s="34">
        <v>9</v>
      </c>
      <c r="B92" s="31" t="s">
        <v>3</v>
      </c>
      <c r="C92" s="49"/>
      <c r="D92" s="174">
        <f>SUM(D93:D98)</f>
        <v>7733354161</v>
      </c>
      <c r="E92" s="174">
        <f>SUM(E93:E98)</f>
        <v>7682080482</v>
      </c>
      <c r="F92" s="174">
        <f>SUM(F93:F98)</f>
        <v>51120510</v>
      </c>
      <c r="G92" s="174">
        <f>SUM(G93:G98)</f>
        <v>153169</v>
      </c>
      <c r="H92" s="162"/>
    </row>
    <row r="93" spans="1:13" ht="105" x14ac:dyDescent="0.25">
      <c r="A93" s="52">
        <v>9.1</v>
      </c>
      <c r="B93" s="162" t="s">
        <v>182</v>
      </c>
      <c r="C93" s="48">
        <v>2014</v>
      </c>
      <c r="D93" s="179">
        <v>1631131491</v>
      </c>
      <c r="E93" s="179">
        <v>1615195062</v>
      </c>
      <c r="F93" s="179">
        <v>15936429</v>
      </c>
      <c r="G93" s="179">
        <f>D93-E93-F93</f>
        <v>0</v>
      </c>
      <c r="H93" s="162" t="s">
        <v>386</v>
      </c>
      <c r="I93" s="77">
        <v>1</v>
      </c>
      <c r="J93" s="77"/>
      <c r="K93" s="77"/>
      <c r="L93" s="83"/>
      <c r="M93" s="77"/>
    </row>
    <row r="94" spans="1:13" ht="105" x14ac:dyDescent="0.25">
      <c r="A94" s="52">
        <v>9.1999999999999993</v>
      </c>
      <c r="B94" s="162" t="s">
        <v>184</v>
      </c>
      <c r="C94" s="48">
        <v>2014</v>
      </c>
      <c r="D94" s="179">
        <v>1317318632</v>
      </c>
      <c r="E94" s="179">
        <v>1316628047</v>
      </c>
      <c r="F94" s="179">
        <v>690585</v>
      </c>
      <c r="G94" s="179">
        <f t="shared" ref="G94:G98" si="9">D94-E94-F94</f>
        <v>0</v>
      </c>
      <c r="H94" s="162" t="s">
        <v>368</v>
      </c>
      <c r="I94" s="77">
        <v>1</v>
      </c>
      <c r="J94" s="77"/>
      <c r="K94" s="77"/>
      <c r="L94" s="83"/>
      <c r="M94" s="77"/>
    </row>
    <row r="95" spans="1:13" ht="90" x14ac:dyDescent="0.25">
      <c r="A95" s="52">
        <v>9.3000000000000007</v>
      </c>
      <c r="B95" s="162" t="s">
        <v>186</v>
      </c>
      <c r="C95" s="48">
        <v>2015</v>
      </c>
      <c r="D95" s="179">
        <v>593286030</v>
      </c>
      <c r="E95" s="179">
        <v>589717483</v>
      </c>
      <c r="F95" s="179">
        <v>3568547</v>
      </c>
      <c r="G95" s="179">
        <f t="shared" si="9"/>
        <v>0</v>
      </c>
      <c r="H95" s="162" t="s">
        <v>369</v>
      </c>
      <c r="I95" s="77">
        <v>1</v>
      </c>
      <c r="J95" s="77"/>
      <c r="K95" s="77"/>
      <c r="L95" s="83"/>
      <c r="M95" s="77"/>
    </row>
    <row r="96" spans="1:13" ht="105" x14ac:dyDescent="0.25">
      <c r="A96" s="52">
        <v>9.4</v>
      </c>
      <c r="B96" s="162" t="s">
        <v>188</v>
      </c>
      <c r="C96" s="48">
        <v>2016</v>
      </c>
      <c r="D96" s="179">
        <v>738731298</v>
      </c>
      <c r="E96" s="179">
        <v>710098499</v>
      </c>
      <c r="F96" s="179">
        <v>28632799</v>
      </c>
      <c r="G96" s="179">
        <f t="shared" si="9"/>
        <v>0</v>
      </c>
      <c r="H96" s="162" t="s">
        <v>364</v>
      </c>
      <c r="I96" s="77">
        <v>1</v>
      </c>
      <c r="J96" s="77"/>
      <c r="K96" s="77"/>
      <c r="L96" s="83"/>
      <c r="M96" s="77"/>
    </row>
    <row r="97" spans="1:13" ht="75" x14ac:dyDescent="0.25">
      <c r="A97" s="52">
        <v>9.5</v>
      </c>
      <c r="B97" s="162" t="s">
        <v>190</v>
      </c>
      <c r="C97" s="48">
        <v>2019</v>
      </c>
      <c r="D97" s="179">
        <v>2195397950</v>
      </c>
      <c r="E97" s="179">
        <v>2193008180</v>
      </c>
      <c r="F97" s="179">
        <v>2292150</v>
      </c>
      <c r="G97" s="179">
        <f t="shared" si="9"/>
        <v>97620</v>
      </c>
      <c r="H97" s="162" t="s">
        <v>365</v>
      </c>
      <c r="I97" s="77">
        <v>1</v>
      </c>
      <c r="J97" s="77"/>
      <c r="K97" s="77"/>
      <c r="L97" s="83"/>
      <c r="M97" s="77"/>
    </row>
    <row r="98" spans="1:13" ht="75" x14ac:dyDescent="0.25">
      <c r="A98" s="52">
        <v>9.6</v>
      </c>
      <c r="B98" s="162" t="s">
        <v>337</v>
      </c>
      <c r="C98" s="48">
        <v>2019</v>
      </c>
      <c r="D98" s="179">
        <v>1257488760</v>
      </c>
      <c r="E98" s="179">
        <v>1257433211</v>
      </c>
      <c r="F98" s="179"/>
      <c r="G98" s="179">
        <f t="shared" si="9"/>
        <v>55549</v>
      </c>
      <c r="H98" s="162" t="s">
        <v>366</v>
      </c>
      <c r="I98" s="77">
        <v>1</v>
      </c>
      <c r="J98" s="77"/>
      <c r="K98" s="77"/>
      <c r="L98" s="83"/>
      <c r="M98" s="77"/>
    </row>
    <row r="99" spans="1:13" ht="28.5" x14ac:dyDescent="0.25">
      <c r="A99" s="34">
        <v>10</v>
      </c>
      <c r="B99" s="31" t="s">
        <v>10</v>
      </c>
      <c r="C99" s="49"/>
      <c r="D99" s="174">
        <f>SUM(D100:D101)</f>
        <v>4268485500</v>
      </c>
      <c r="E99" s="174">
        <f>SUM(E100:E101)</f>
        <v>4264819226</v>
      </c>
      <c r="F99" s="174">
        <f t="shared" ref="F99:G99" si="10">SUM(F100:F101)</f>
        <v>3666274</v>
      </c>
      <c r="G99" s="174">
        <f t="shared" si="10"/>
        <v>0</v>
      </c>
      <c r="H99" s="162"/>
    </row>
    <row r="100" spans="1:13" ht="60" x14ac:dyDescent="0.25">
      <c r="A100" s="52">
        <v>10.1</v>
      </c>
      <c r="B100" s="162" t="s">
        <v>192</v>
      </c>
      <c r="C100" s="49">
        <v>2015</v>
      </c>
      <c r="D100" s="175">
        <v>3303729000</v>
      </c>
      <c r="E100" s="175">
        <v>3303729000</v>
      </c>
      <c r="F100" s="175"/>
      <c r="G100" s="175"/>
      <c r="H100" s="162" t="s">
        <v>374</v>
      </c>
      <c r="I100" s="66">
        <v>2</v>
      </c>
    </row>
    <row r="101" spans="1:13" ht="60" x14ac:dyDescent="0.25">
      <c r="A101" s="52">
        <v>10.199999999999999</v>
      </c>
      <c r="B101" s="162" t="s">
        <v>193</v>
      </c>
      <c r="C101" s="49">
        <v>2017</v>
      </c>
      <c r="D101" s="175">
        <v>964756500</v>
      </c>
      <c r="E101" s="175">
        <v>961090226</v>
      </c>
      <c r="F101" s="175">
        <f>D101-E101</f>
        <v>3666274</v>
      </c>
      <c r="G101" s="175"/>
      <c r="H101" s="162" t="s">
        <v>375</v>
      </c>
      <c r="I101" s="66">
        <v>2</v>
      </c>
    </row>
    <row r="102" spans="1:13" x14ac:dyDescent="0.25">
      <c r="A102" s="34">
        <v>11</v>
      </c>
      <c r="B102" s="31" t="s">
        <v>94</v>
      </c>
      <c r="C102" s="49"/>
      <c r="D102" s="174">
        <f>SUM(D103:D104)</f>
        <v>675003300</v>
      </c>
      <c r="E102" s="174">
        <f>SUM(E103:E104)</f>
        <v>657120343</v>
      </c>
      <c r="F102" s="174">
        <f>SUM(F103:F104)</f>
        <v>17883939</v>
      </c>
      <c r="G102" s="174">
        <f>SUM(G103:G104)</f>
        <v>-982</v>
      </c>
      <c r="H102" s="162"/>
    </row>
    <row r="103" spans="1:13" ht="60" x14ac:dyDescent="0.25">
      <c r="A103" s="52">
        <v>11.1</v>
      </c>
      <c r="B103" s="162" t="s">
        <v>194</v>
      </c>
      <c r="C103" s="49">
        <v>2017</v>
      </c>
      <c r="D103" s="175">
        <v>220977700</v>
      </c>
      <c r="E103" s="175">
        <v>203094743</v>
      </c>
      <c r="F103" s="175">
        <v>17883939</v>
      </c>
      <c r="G103" s="175">
        <f>(D103-E103-F103)</f>
        <v>-982</v>
      </c>
      <c r="H103" s="162" t="s">
        <v>376</v>
      </c>
      <c r="I103" s="66">
        <v>2</v>
      </c>
      <c r="K103" s="67">
        <f>D103-E103</f>
        <v>17882957</v>
      </c>
    </row>
    <row r="104" spans="1:13" ht="60" x14ac:dyDescent="0.25">
      <c r="A104" s="52">
        <v>11.2</v>
      </c>
      <c r="B104" s="162" t="s">
        <v>196</v>
      </c>
      <c r="C104" s="49">
        <v>2018</v>
      </c>
      <c r="D104" s="175">
        <v>454025600</v>
      </c>
      <c r="E104" s="175">
        <v>454025600</v>
      </c>
      <c r="F104" s="175"/>
      <c r="G104" s="175"/>
      <c r="H104" s="162" t="s">
        <v>377</v>
      </c>
      <c r="I104" s="66">
        <v>2</v>
      </c>
    </row>
    <row r="105" spans="1:13" x14ac:dyDescent="0.25">
      <c r="A105" s="34">
        <v>12</v>
      </c>
      <c r="B105" s="31" t="s">
        <v>9</v>
      </c>
      <c r="C105" s="49"/>
      <c r="D105" s="174">
        <f>SUM(D106:D112)</f>
        <v>11230083322</v>
      </c>
      <c r="E105" s="174">
        <f>SUM(E106:E112)</f>
        <v>10860702465</v>
      </c>
      <c r="F105" s="174">
        <f>SUM(F106:F112)</f>
        <v>320925599</v>
      </c>
      <c r="G105" s="174">
        <f>SUM(G106:G112)</f>
        <v>44493788</v>
      </c>
      <c r="H105" s="162"/>
    </row>
    <row r="106" spans="1:13" ht="90" x14ac:dyDescent="0.25">
      <c r="A106" s="52">
        <v>12.1</v>
      </c>
      <c r="B106" s="162" t="s">
        <v>197</v>
      </c>
      <c r="C106" s="48">
        <v>2015</v>
      </c>
      <c r="D106" s="179">
        <v>1694220000</v>
      </c>
      <c r="E106" s="179">
        <v>1684599000</v>
      </c>
      <c r="F106" s="179">
        <v>9621000</v>
      </c>
      <c r="G106" s="179">
        <f>D106-E106-F106</f>
        <v>0</v>
      </c>
      <c r="H106" s="162" t="s">
        <v>370</v>
      </c>
      <c r="I106" s="77">
        <v>1</v>
      </c>
      <c r="J106" s="77"/>
      <c r="K106" s="77"/>
      <c r="L106" s="83"/>
      <c r="M106" s="77"/>
    </row>
    <row r="107" spans="1:13" ht="90" x14ac:dyDescent="0.25">
      <c r="A107" s="52">
        <v>12.2</v>
      </c>
      <c r="B107" s="162" t="s">
        <v>199</v>
      </c>
      <c r="C107" s="48">
        <v>2015</v>
      </c>
      <c r="D107" s="179">
        <v>1694220000</v>
      </c>
      <c r="E107" s="179">
        <v>1684599000</v>
      </c>
      <c r="F107" s="179">
        <v>9621000</v>
      </c>
      <c r="G107" s="179">
        <f t="shared" ref="G107:G110" si="11">D107-E107-F107</f>
        <v>0</v>
      </c>
      <c r="H107" s="162" t="s">
        <v>370</v>
      </c>
      <c r="I107" s="77">
        <v>1</v>
      </c>
      <c r="J107" s="77"/>
      <c r="K107" s="77"/>
      <c r="L107" s="83"/>
      <c r="M107" s="77"/>
    </row>
    <row r="108" spans="1:13" ht="150" x14ac:dyDescent="0.25">
      <c r="A108" s="52">
        <v>12.3</v>
      </c>
      <c r="B108" s="162" t="s">
        <v>201</v>
      </c>
      <c r="C108" s="49">
        <v>2016</v>
      </c>
      <c r="D108" s="175">
        <v>1050991500</v>
      </c>
      <c r="E108" s="175">
        <v>1048032930</v>
      </c>
      <c r="F108" s="175"/>
      <c r="G108" s="175">
        <f>D108-E108-F108-2901952</f>
        <v>56618</v>
      </c>
      <c r="H108" s="162" t="s">
        <v>388</v>
      </c>
      <c r="I108" s="66">
        <v>2</v>
      </c>
    </row>
    <row r="109" spans="1:13" ht="150" x14ac:dyDescent="0.25">
      <c r="A109" s="52">
        <v>12.4</v>
      </c>
      <c r="B109" s="162" t="s">
        <v>203</v>
      </c>
      <c r="C109" s="49">
        <v>2016</v>
      </c>
      <c r="D109" s="175">
        <v>404149107</v>
      </c>
      <c r="E109" s="175">
        <v>403089589</v>
      </c>
      <c r="F109" s="175"/>
      <c r="G109" s="175"/>
      <c r="H109" s="162" t="s">
        <v>387</v>
      </c>
      <c r="I109" s="66">
        <v>2</v>
      </c>
    </row>
    <row r="110" spans="1:13" ht="75" x14ac:dyDescent="0.25">
      <c r="A110" s="52">
        <v>12.5</v>
      </c>
      <c r="B110" s="162" t="s">
        <v>205</v>
      </c>
      <c r="C110" s="49">
        <v>2017</v>
      </c>
      <c r="D110" s="175">
        <v>3867380313</v>
      </c>
      <c r="E110" s="175">
        <v>3698866008</v>
      </c>
      <c r="F110" s="175">
        <v>168514305</v>
      </c>
      <c r="G110" s="175">
        <f t="shared" si="11"/>
        <v>0</v>
      </c>
      <c r="H110" s="162" t="s">
        <v>371</v>
      </c>
      <c r="I110" s="66">
        <v>2</v>
      </c>
    </row>
    <row r="111" spans="1:13" ht="99" customHeight="1" x14ac:dyDescent="0.25">
      <c r="A111" s="52">
        <v>12.6</v>
      </c>
      <c r="B111" s="162" t="s">
        <v>207</v>
      </c>
      <c r="C111" s="49">
        <v>2018</v>
      </c>
      <c r="D111" s="175">
        <v>920302775</v>
      </c>
      <c r="E111" s="175">
        <v>791341938</v>
      </c>
      <c r="F111" s="175">
        <v>128960634</v>
      </c>
      <c r="G111" s="175">
        <v>203</v>
      </c>
      <c r="H111" s="162" t="s">
        <v>372</v>
      </c>
      <c r="I111" s="66">
        <v>2</v>
      </c>
      <c r="K111" s="67">
        <f>D111-791341938</f>
        <v>128960837</v>
      </c>
    </row>
    <row r="112" spans="1:13" ht="75" x14ac:dyDescent="0.25">
      <c r="A112" s="52">
        <v>12.7</v>
      </c>
      <c r="B112" s="162" t="s">
        <v>209</v>
      </c>
      <c r="C112" s="48">
        <v>2019</v>
      </c>
      <c r="D112" s="179">
        <v>1598819627</v>
      </c>
      <c r="E112" s="179">
        <v>1550174000</v>
      </c>
      <c r="F112" s="179">
        <v>4208660</v>
      </c>
      <c r="G112" s="179">
        <v>44436967</v>
      </c>
      <c r="H112" s="162" t="s">
        <v>373</v>
      </c>
      <c r="I112" s="77">
        <v>1</v>
      </c>
      <c r="J112" s="77"/>
      <c r="K112" s="77"/>
      <c r="L112" s="83"/>
      <c r="M112" s="77"/>
    </row>
    <row r="113" spans="1:11" x14ac:dyDescent="0.25">
      <c r="A113" s="34">
        <v>13</v>
      </c>
      <c r="B113" s="31" t="s">
        <v>8</v>
      </c>
      <c r="C113" s="49"/>
      <c r="D113" s="174">
        <f>SUM(D114:D127)</f>
        <v>16779861352</v>
      </c>
      <c r="E113" s="174">
        <f>SUM(E114:E127)</f>
        <v>16276117581</v>
      </c>
      <c r="F113" s="174">
        <f>SUM(F114:F127)</f>
        <v>503718175</v>
      </c>
      <c r="G113" s="174">
        <f>SUM(G114:G127)</f>
        <v>45596</v>
      </c>
      <c r="H113" s="162"/>
    </row>
    <row r="114" spans="1:11" ht="30" x14ac:dyDescent="0.25">
      <c r="A114" s="52">
        <v>13.1</v>
      </c>
      <c r="B114" s="162" t="s">
        <v>210</v>
      </c>
      <c r="C114" s="49">
        <v>2014</v>
      </c>
      <c r="D114" s="175">
        <v>847109970</v>
      </c>
      <c r="E114" s="175">
        <v>847109970</v>
      </c>
      <c r="F114" s="175"/>
      <c r="G114" s="175"/>
      <c r="H114" s="162" t="s">
        <v>320</v>
      </c>
      <c r="I114" s="66">
        <v>0</v>
      </c>
    </row>
    <row r="115" spans="1:11" ht="30" x14ac:dyDescent="0.25">
      <c r="A115" s="52">
        <v>13.2</v>
      </c>
      <c r="B115" s="162" t="s">
        <v>211</v>
      </c>
      <c r="C115" s="49">
        <v>2014</v>
      </c>
      <c r="D115" s="175">
        <v>782428256</v>
      </c>
      <c r="E115" s="175">
        <v>782428256</v>
      </c>
      <c r="F115" s="175"/>
      <c r="G115" s="175"/>
      <c r="H115" s="162" t="s">
        <v>320</v>
      </c>
      <c r="I115" s="66">
        <v>0</v>
      </c>
    </row>
    <row r="116" spans="1:11" ht="30" x14ac:dyDescent="0.25">
      <c r="A116" s="52">
        <v>13.3</v>
      </c>
      <c r="B116" s="162" t="s">
        <v>212</v>
      </c>
      <c r="C116" s="49">
        <v>2015</v>
      </c>
      <c r="D116" s="175">
        <v>847109940</v>
      </c>
      <c r="E116" s="175">
        <v>847101940</v>
      </c>
      <c r="F116" s="175">
        <f>D116-E116</f>
        <v>8000</v>
      </c>
      <c r="G116" s="175"/>
      <c r="H116" s="162" t="s">
        <v>320</v>
      </c>
      <c r="I116" s="66">
        <v>0</v>
      </c>
    </row>
    <row r="117" spans="1:11" ht="30" x14ac:dyDescent="0.25">
      <c r="A117" s="52">
        <v>13.4</v>
      </c>
      <c r="B117" s="162" t="s">
        <v>213</v>
      </c>
      <c r="C117" s="49">
        <v>2015</v>
      </c>
      <c r="D117" s="175">
        <v>4180576804</v>
      </c>
      <c r="E117" s="175">
        <v>4116757409</v>
      </c>
      <c r="F117" s="175">
        <f>D117-E117</f>
        <v>63819395</v>
      </c>
      <c r="G117" s="175"/>
      <c r="H117" s="162" t="s">
        <v>320</v>
      </c>
      <c r="I117" s="66">
        <v>0</v>
      </c>
    </row>
    <row r="118" spans="1:11" ht="30" x14ac:dyDescent="0.25">
      <c r="A118" s="52">
        <v>13.5</v>
      </c>
      <c r="B118" s="162" t="s">
        <v>214</v>
      </c>
      <c r="C118" s="49">
        <v>2015</v>
      </c>
      <c r="D118" s="175">
        <v>423554975</v>
      </c>
      <c r="E118" s="175">
        <v>423547975</v>
      </c>
      <c r="F118" s="175">
        <f>D118-E118</f>
        <v>7000</v>
      </c>
      <c r="G118" s="175"/>
      <c r="H118" s="162" t="s">
        <v>320</v>
      </c>
      <c r="I118" s="66">
        <v>0</v>
      </c>
    </row>
    <row r="119" spans="1:11" ht="45" x14ac:dyDescent="0.25">
      <c r="A119" s="52">
        <v>13.6</v>
      </c>
      <c r="B119" s="162" t="s">
        <v>215</v>
      </c>
      <c r="C119" s="49">
        <v>2015</v>
      </c>
      <c r="D119" s="175">
        <v>562470000</v>
      </c>
      <c r="E119" s="175">
        <v>562466000</v>
      </c>
      <c r="F119" s="175"/>
      <c r="G119" s="175">
        <f>D119-E119</f>
        <v>4000</v>
      </c>
      <c r="H119" s="162" t="s">
        <v>320</v>
      </c>
      <c r="I119" s="66">
        <v>0</v>
      </c>
    </row>
    <row r="120" spans="1:11" ht="30" x14ac:dyDescent="0.25">
      <c r="A120" s="52">
        <v>13.7</v>
      </c>
      <c r="B120" s="162" t="s">
        <v>217</v>
      </c>
      <c r="C120" s="49">
        <v>2015</v>
      </c>
      <c r="D120" s="175">
        <v>847110000</v>
      </c>
      <c r="E120" s="175">
        <v>847110000</v>
      </c>
      <c r="F120" s="175"/>
      <c r="G120" s="175"/>
      <c r="H120" s="162" t="s">
        <v>320</v>
      </c>
      <c r="I120" s="66">
        <v>0</v>
      </c>
    </row>
    <row r="121" spans="1:11" ht="30" x14ac:dyDescent="0.25">
      <c r="A121" s="52">
        <v>13.8</v>
      </c>
      <c r="B121" s="162" t="s">
        <v>218</v>
      </c>
      <c r="C121" s="49">
        <v>2015</v>
      </c>
      <c r="D121" s="175">
        <v>3295258000</v>
      </c>
      <c r="E121" s="175">
        <v>3295258000</v>
      </c>
      <c r="F121" s="175"/>
      <c r="G121" s="175"/>
      <c r="H121" s="162" t="s">
        <v>320</v>
      </c>
      <c r="I121" s="66">
        <v>0</v>
      </c>
    </row>
    <row r="122" spans="1:11" ht="30" x14ac:dyDescent="0.25">
      <c r="A122" s="52">
        <v>13.9</v>
      </c>
      <c r="B122" s="162" t="s">
        <v>220</v>
      </c>
      <c r="C122" s="49">
        <v>2016</v>
      </c>
      <c r="D122" s="175">
        <v>754558000</v>
      </c>
      <c r="E122" s="175">
        <v>754548000</v>
      </c>
      <c r="F122" s="175">
        <f>D122-E122</f>
        <v>10000</v>
      </c>
      <c r="G122" s="175"/>
      <c r="H122" s="162" t="s">
        <v>320</v>
      </c>
      <c r="I122" s="66">
        <v>0</v>
      </c>
    </row>
    <row r="123" spans="1:11" ht="30" x14ac:dyDescent="0.25">
      <c r="A123" s="53">
        <v>13.1</v>
      </c>
      <c r="B123" s="162" t="s">
        <v>222</v>
      </c>
      <c r="C123" s="49">
        <v>2016</v>
      </c>
      <c r="D123" s="175">
        <v>625206441</v>
      </c>
      <c r="E123" s="175">
        <v>625205164</v>
      </c>
      <c r="F123" s="175"/>
      <c r="G123" s="175">
        <f>D123-E123</f>
        <v>1277</v>
      </c>
      <c r="H123" s="162" t="s">
        <v>320</v>
      </c>
      <c r="I123" s="66">
        <v>0</v>
      </c>
    </row>
    <row r="124" spans="1:11" ht="30" x14ac:dyDescent="0.25">
      <c r="A124" s="53">
        <v>13.11</v>
      </c>
      <c r="B124" s="162" t="s">
        <v>224</v>
      </c>
      <c r="C124" s="49">
        <v>2017</v>
      </c>
      <c r="D124" s="175">
        <v>808453739</v>
      </c>
      <c r="E124" s="175">
        <v>773421674</v>
      </c>
      <c r="F124" s="175">
        <v>35012746</v>
      </c>
      <c r="G124" s="175">
        <f>(D124-E124)-F124</f>
        <v>19319</v>
      </c>
      <c r="H124" s="162" t="s">
        <v>320</v>
      </c>
      <c r="I124" s="66">
        <v>0</v>
      </c>
    </row>
    <row r="125" spans="1:11" ht="30" x14ac:dyDescent="0.25">
      <c r="A125" s="53">
        <v>13.12</v>
      </c>
      <c r="B125" s="162" t="s">
        <v>226</v>
      </c>
      <c r="C125" s="49">
        <v>2017</v>
      </c>
      <c r="D125" s="175">
        <v>523462427</v>
      </c>
      <c r="E125" s="175">
        <v>479682993</v>
      </c>
      <c r="F125" s="175">
        <f>D125-E125</f>
        <v>43779434</v>
      </c>
      <c r="G125" s="175"/>
      <c r="H125" s="162" t="s">
        <v>320</v>
      </c>
      <c r="I125" s="66">
        <v>0</v>
      </c>
    </row>
    <row r="126" spans="1:11" ht="30" x14ac:dyDescent="0.25">
      <c r="A126" s="53">
        <v>13.13</v>
      </c>
      <c r="B126" s="162" t="s">
        <v>227</v>
      </c>
      <c r="C126" s="49">
        <v>2018</v>
      </c>
      <c r="D126" s="175">
        <v>1256699000</v>
      </c>
      <c r="E126" s="175">
        <v>1256657000</v>
      </c>
      <c r="F126" s="175">
        <f>D126-E126-1000</f>
        <v>41000</v>
      </c>
      <c r="G126" s="175">
        <v>21000</v>
      </c>
      <c r="H126" s="162" t="s">
        <v>320</v>
      </c>
      <c r="I126" s="66">
        <v>0</v>
      </c>
      <c r="K126" s="67"/>
    </row>
    <row r="127" spans="1:11" ht="30" x14ac:dyDescent="0.25">
      <c r="A127" s="53">
        <v>13.14</v>
      </c>
      <c r="B127" s="162" t="s">
        <v>228</v>
      </c>
      <c r="C127" s="49">
        <v>2018</v>
      </c>
      <c r="D127" s="175">
        <v>1025863800</v>
      </c>
      <c r="E127" s="175">
        <v>664823200</v>
      </c>
      <c r="F127" s="175">
        <f>D127-E127</f>
        <v>361040600</v>
      </c>
      <c r="G127" s="175"/>
      <c r="H127" s="162" t="s">
        <v>320</v>
      </c>
      <c r="I127" s="66">
        <v>0</v>
      </c>
    </row>
    <row r="128" spans="1:11" x14ac:dyDescent="0.25">
      <c r="A128" s="34">
        <v>14</v>
      </c>
      <c r="B128" s="31" t="s">
        <v>96</v>
      </c>
      <c r="C128" s="49"/>
      <c r="D128" s="174">
        <f>SUM(D129:D130)</f>
        <v>6855365629</v>
      </c>
      <c r="E128" s="174">
        <f>SUM(E129:E130)</f>
        <v>6814230309</v>
      </c>
      <c r="F128" s="174">
        <f>SUM(F129:F130)</f>
        <v>41135320</v>
      </c>
      <c r="G128" s="174">
        <f>SUM(G129:G130)</f>
        <v>0</v>
      </c>
      <c r="H128" s="162"/>
    </row>
    <row r="129" spans="1:13" ht="45" x14ac:dyDescent="0.25">
      <c r="A129" s="52">
        <v>14.1</v>
      </c>
      <c r="B129" s="162" t="s">
        <v>230</v>
      </c>
      <c r="C129" s="49">
        <v>2015</v>
      </c>
      <c r="D129" s="175">
        <v>4847163409</v>
      </c>
      <c r="E129" s="175">
        <v>4847163010</v>
      </c>
      <c r="F129" s="175">
        <f>D129-E129</f>
        <v>399</v>
      </c>
      <c r="G129" s="175">
        <f>D129-E129-F129</f>
        <v>0</v>
      </c>
      <c r="H129" s="46" t="s">
        <v>378</v>
      </c>
      <c r="I129" s="66">
        <v>2</v>
      </c>
    </row>
    <row r="130" spans="1:13" ht="45" x14ac:dyDescent="0.25">
      <c r="A130" s="52">
        <v>14.2</v>
      </c>
      <c r="B130" s="162" t="s">
        <v>232</v>
      </c>
      <c r="C130" s="49">
        <v>2017</v>
      </c>
      <c r="D130" s="175">
        <v>2008202220</v>
      </c>
      <c r="E130" s="175">
        <v>1967067299</v>
      </c>
      <c r="F130" s="175">
        <f>34478156+6656765</f>
        <v>41134921</v>
      </c>
      <c r="G130" s="175">
        <f>D130-E130-F130</f>
        <v>0</v>
      </c>
      <c r="H130" s="162" t="s">
        <v>379</v>
      </c>
      <c r="I130" s="66">
        <v>2</v>
      </c>
    </row>
    <row r="131" spans="1:13" x14ac:dyDescent="0.25">
      <c r="A131" s="34">
        <v>15</v>
      </c>
      <c r="B131" s="31" t="s">
        <v>76</v>
      </c>
      <c r="C131" s="49"/>
      <c r="D131" s="174">
        <f>SUM(D132:D133)</f>
        <v>1594261020</v>
      </c>
      <c r="E131" s="174">
        <f>SUM(E132:E133)</f>
        <v>1594261020</v>
      </c>
      <c r="F131" s="174">
        <f>SUM(F132:F133)</f>
        <v>0</v>
      </c>
      <c r="G131" s="174">
        <f>SUM(G132:G133)</f>
        <v>0</v>
      </c>
      <c r="H131" s="162"/>
    </row>
    <row r="132" spans="1:13" ht="45" x14ac:dyDescent="0.25">
      <c r="A132" s="52">
        <v>15.1</v>
      </c>
      <c r="B132" s="162" t="s">
        <v>234</v>
      </c>
      <c r="C132" s="49">
        <v>2014</v>
      </c>
      <c r="D132" s="175">
        <v>747151020</v>
      </c>
      <c r="E132" s="175">
        <v>747151020</v>
      </c>
      <c r="F132" s="175"/>
      <c r="G132" s="175"/>
      <c r="H132" s="162" t="s">
        <v>380</v>
      </c>
      <c r="I132" s="66">
        <v>2</v>
      </c>
    </row>
    <row r="133" spans="1:13" ht="45" x14ac:dyDescent="0.25">
      <c r="A133" s="52">
        <v>15.2</v>
      </c>
      <c r="B133" s="162" t="s">
        <v>236</v>
      </c>
      <c r="C133" s="49">
        <v>2015</v>
      </c>
      <c r="D133" s="175">
        <v>847110000</v>
      </c>
      <c r="E133" s="175">
        <v>847110000</v>
      </c>
      <c r="F133" s="175"/>
      <c r="G133" s="175"/>
      <c r="H133" s="162" t="s">
        <v>381</v>
      </c>
      <c r="I133" s="66">
        <v>2</v>
      </c>
    </row>
    <row r="134" spans="1:13" x14ac:dyDescent="0.25">
      <c r="A134" s="34">
        <v>16</v>
      </c>
      <c r="B134" s="31" t="s">
        <v>4</v>
      </c>
      <c r="C134" s="49"/>
      <c r="D134" s="174">
        <f>SUM(D135:D137)</f>
        <v>2405791700</v>
      </c>
      <c r="E134" s="174">
        <f>SUM(E135:E137)</f>
        <v>2405791400</v>
      </c>
      <c r="F134" s="174">
        <f>SUM(F135:F137)</f>
        <v>0</v>
      </c>
      <c r="G134" s="174">
        <f>SUM(G135:G137)</f>
        <v>300</v>
      </c>
      <c r="H134" s="162"/>
    </row>
    <row r="135" spans="1:13" ht="45" x14ac:dyDescent="0.25">
      <c r="A135" s="52">
        <v>16.100000000000001</v>
      </c>
      <c r="B135" s="162" t="s">
        <v>238</v>
      </c>
      <c r="C135" s="49">
        <v>2014</v>
      </c>
      <c r="D135" s="175">
        <v>800518450</v>
      </c>
      <c r="E135" s="175">
        <v>800518450</v>
      </c>
      <c r="F135" s="175"/>
      <c r="G135" s="175"/>
      <c r="H135" s="46" t="s">
        <v>382</v>
      </c>
      <c r="I135" s="66">
        <v>2</v>
      </c>
    </row>
    <row r="136" spans="1:13" ht="45" x14ac:dyDescent="0.25">
      <c r="A136" s="52">
        <v>16.2</v>
      </c>
      <c r="B136" s="162" t="s">
        <v>240</v>
      </c>
      <c r="C136" s="49">
        <v>2015</v>
      </c>
      <c r="D136" s="175">
        <v>762399000</v>
      </c>
      <c r="E136" s="175">
        <v>762399000</v>
      </c>
      <c r="F136" s="175"/>
      <c r="G136" s="175"/>
      <c r="H136" s="162" t="s">
        <v>383</v>
      </c>
      <c r="I136" s="66">
        <v>2</v>
      </c>
    </row>
    <row r="137" spans="1:13" ht="45" x14ac:dyDescent="0.25">
      <c r="A137" s="52">
        <v>16.3</v>
      </c>
      <c r="B137" s="162" t="s">
        <v>241</v>
      </c>
      <c r="C137" s="49">
        <v>2015</v>
      </c>
      <c r="D137" s="175">
        <v>842874250</v>
      </c>
      <c r="E137" s="175">
        <v>842873950</v>
      </c>
      <c r="F137" s="175"/>
      <c r="G137" s="175">
        <f>D137-E137</f>
        <v>300</v>
      </c>
      <c r="H137" s="162" t="s">
        <v>384</v>
      </c>
      <c r="I137" s="66">
        <v>2</v>
      </c>
    </row>
    <row r="138" spans="1:13" x14ac:dyDescent="0.25">
      <c r="A138" s="34">
        <v>17</v>
      </c>
      <c r="B138" s="31" t="s">
        <v>98</v>
      </c>
      <c r="C138" s="49"/>
      <c r="D138" s="174">
        <f>SUM(D139:D140)</f>
        <v>1272300000</v>
      </c>
      <c r="E138" s="174">
        <f>SUM(E139:E140)</f>
        <v>1272300000</v>
      </c>
      <c r="F138" s="175"/>
      <c r="G138" s="175"/>
      <c r="H138" s="162"/>
    </row>
    <row r="139" spans="1:13" ht="60" x14ac:dyDescent="0.25">
      <c r="A139" s="52">
        <v>17.100000000000001</v>
      </c>
      <c r="B139" s="162" t="s">
        <v>243</v>
      </c>
      <c r="C139" s="48">
        <v>2018</v>
      </c>
      <c r="D139" s="179">
        <v>892000000</v>
      </c>
      <c r="E139" s="179">
        <v>892000000</v>
      </c>
      <c r="F139" s="179"/>
      <c r="G139" s="179"/>
      <c r="H139" s="84" t="s">
        <v>389</v>
      </c>
      <c r="I139" s="77">
        <v>1</v>
      </c>
      <c r="J139" s="77"/>
      <c r="K139" s="77"/>
      <c r="L139" s="83"/>
      <c r="M139" s="77"/>
    </row>
    <row r="140" spans="1:13" ht="60" x14ac:dyDescent="0.25">
      <c r="A140" s="52">
        <v>17.2</v>
      </c>
      <c r="B140" s="162" t="s">
        <v>244</v>
      </c>
      <c r="C140" s="48">
        <v>2019</v>
      </c>
      <c r="D140" s="179">
        <v>380300000</v>
      </c>
      <c r="E140" s="179">
        <v>380300000</v>
      </c>
      <c r="F140" s="179"/>
      <c r="G140" s="179"/>
      <c r="H140" s="84" t="s">
        <v>390</v>
      </c>
      <c r="I140" s="77">
        <v>1</v>
      </c>
      <c r="J140" s="77"/>
      <c r="K140" s="77"/>
      <c r="L140" s="83"/>
      <c r="M140" s="77"/>
    </row>
    <row r="141" spans="1:13" x14ac:dyDescent="0.25">
      <c r="A141" s="34">
        <v>18</v>
      </c>
      <c r="B141" s="31" t="s">
        <v>97</v>
      </c>
      <c r="C141" s="49"/>
      <c r="D141" s="174">
        <f>SUM(D142:D143)</f>
        <v>3518894940</v>
      </c>
      <c r="E141" s="174">
        <f>SUM(E142:E143)</f>
        <v>3518894940</v>
      </c>
      <c r="F141" s="174">
        <f t="shared" ref="F141:G141" si="12">SUM(F142:F143)</f>
        <v>0</v>
      </c>
      <c r="G141" s="174">
        <f t="shared" si="12"/>
        <v>0</v>
      </c>
      <c r="H141" s="162"/>
    </row>
    <row r="142" spans="1:13" ht="116.25" customHeight="1" x14ac:dyDescent="0.25">
      <c r="A142" s="52">
        <v>18.100000000000001</v>
      </c>
      <c r="B142" s="162" t="s">
        <v>245</v>
      </c>
      <c r="C142" s="48">
        <v>2014</v>
      </c>
      <c r="D142" s="179">
        <v>1762835910</v>
      </c>
      <c r="E142" s="179">
        <v>1762835910</v>
      </c>
      <c r="F142" s="179"/>
      <c r="G142" s="179"/>
      <c r="H142" s="84" t="s">
        <v>391</v>
      </c>
      <c r="I142" s="77">
        <v>1</v>
      </c>
      <c r="J142" s="77"/>
      <c r="K142" s="77"/>
      <c r="L142" s="83"/>
      <c r="M142" s="77"/>
    </row>
    <row r="143" spans="1:13" ht="123.75" customHeight="1" x14ac:dyDescent="0.25">
      <c r="A143" s="52">
        <v>18.2</v>
      </c>
      <c r="B143" s="162" t="s">
        <v>249</v>
      </c>
      <c r="C143" s="48">
        <v>2015</v>
      </c>
      <c r="D143" s="179">
        <v>1756059030</v>
      </c>
      <c r="E143" s="179">
        <v>1756059030</v>
      </c>
      <c r="F143" s="179"/>
      <c r="G143" s="179"/>
      <c r="H143" s="84" t="s">
        <v>392</v>
      </c>
      <c r="I143" s="77">
        <v>1</v>
      </c>
      <c r="J143" s="77"/>
      <c r="K143" s="77"/>
      <c r="L143" s="83"/>
      <c r="M143" s="77"/>
    </row>
    <row r="144" spans="1:13" x14ac:dyDescent="0.25">
      <c r="A144" s="34">
        <v>19</v>
      </c>
      <c r="B144" s="31" t="s">
        <v>2</v>
      </c>
      <c r="C144" s="49"/>
      <c r="D144" s="174">
        <f>SUM(D145:D148)</f>
        <v>4802752428</v>
      </c>
      <c r="E144" s="174">
        <f>SUM(E145:E148)</f>
        <v>4610814047</v>
      </c>
      <c r="F144" s="174">
        <f>SUM(F145:F148)</f>
        <v>41476439</v>
      </c>
      <c r="G144" s="174">
        <f>SUM(G145:G148)</f>
        <v>150461942</v>
      </c>
      <c r="H144" s="162"/>
    </row>
    <row r="145" spans="1:9" ht="30" x14ac:dyDescent="0.25">
      <c r="A145" s="52">
        <v>19.100000000000001</v>
      </c>
      <c r="B145" s="162" t="s">
        <v>252</v>
      </c>
      <c r="C145" s="49">
        <v>2014</v>
      </c>
      <c r="D145" s="175">
        <v>1693191357</v>
      </c>
      <c r="E145" s="175">
        <v>1621586145</v>
      </c>
      <c r="F145" s="175">
        <v>22794964</v>
      </c>
      <c r="G145" s="175">
        <f>(D145-E145)-F145</f>
        <v>48810248</v>
      </c>
      <c r="H145" s="180" t="s">
        <v>320</v>
      </c>
      <c r="I145" s="66">
        <v>0</v>
      </c>
    </row>
    <row r="146" spans="1:9" ht="30" x14ac:dyDescent="0.25">
      <c r="A146" s="52">
        <v>19.2</v>
      </c>
      <c r="B146" s="162" t="s">
        <v>253</v>
      </c>
      <c r="C146" s="49">
        <v>2014</v>
      </c>
      <c r="D146" s="175">
        <v>846648847</v>
      </c>
      <c r="E146" s="175">
        <v>810205356</v>
      </c>
      <c r="F146" s="175">
        <v>4660668</v>
      </c>
      <c r="G146" s="175">
        <f>(D146-E146)-F146</f>
        <v>31782823</v>
      </c>
      <c r="H146" s="180" t="s">
        <v>320</v>
      </c>
      <c r="I146" s="66">
        <v>0</v>
      </c>
    </row>
    <row r="147" spans="1:9" ht="30" x14ac:dyDescent="0.25">
      <c r="A147" s="52">
        <v>19.3</v>
      </c>
      <c r="B147" s="162" t="s">
        <v>254</v>
      </c>
      <c r="C147" s="49">
        <v>2015</v>
      </c>
      <c r="D147" s="175">
        <v>1672344127</v>
      </c>
      <c r="E147" s="175">
        <v>1610803642</v>
      </c>
      <c r="F147" s="175">
        <f>14020807-F148</f>
        <v>6294326</v>
      </c>
      <c r="G147" s="175">
        <f>(D147-E147)-F147</f>
        <v>55246159</v>
      </c>
      <c r="H147" s="180" t="s">
        <v>320</v>
      </c>
      <c r="I147" s="66">
        <v>0</v>
      </c>
    </row>
    <row r="148" spans="1:9" ht="30" x14ac:dyDescent="0.25">
      <c r="A148" s="52">
        <v>19.399999999999999</v>
      </c>
      <c r="B148" s="162" t="s">
        <v>256</v>
      </c>
      <c r="C148" s="49">
        <v>2015</v>
      </c>
      <c r="D148" s="175">
        <v>590568097</v>
      </c>
      <c r="E148" s="175">
        <v>568218904</v>
      </c>
      <c r="F148" s="175">
        <v>7726481</v>
      </c>
      <c r="G148" s="175">
        <f>(D148-E148)-F148</f>
        <v>14622712</v>
      </c>
      <c r="H148" s="180" t="s">
        <v>320</v>
      </c>
      <c r="I148" s="66">
        <v>0</v>
      </c>
    </row>
    <row r="149" spans="1:9" x14ac:dyDescent="0.25">
      <c r="A149" s="34">
        <v>20</v>
      </c>
      <c r="B149" s="31" t="s">
        <v>99</v>
      </c>
      <c r="C149" s="49"/>
      <c r="D149" s="174">
        <f>D150</f>
        <v>5890713411</v>
      </c>
      <c r="E149" s="174">
        <f>E150</f>
        <v>5885317083</v>
      </c>
      <c r="F149" s="174">
        <f>F150</f>
        <v>5396329</v>
      </c>
      <c r="G149" s="174">
        <f>G150</f>
        <v>0</v>
      </c>
      <c r="H149" s="162"/>
    </row>
    <row r="150" spans="1:9" ht="60" x14ac:dyDescent="0.25">
      <c r="A150" s="52">
        <v>20.100000000000001</v>
      </c>
      <c r="B150" s="162" t="s">
        <v>258</v>
      </c>
      <c r="C150" s="49">
        <v>2015</v>
      </c>
      <c r="D150" s="175">
        <v>5890713411</v>
      </c>
      <c r="E150" s="175">
        <v>5885317083</v>
      </c>
      <c r="F150" s="175">
        <v>5396329</v>
      </c>
      <c r="G150" s="175"/>
      <c r="H150" s="162" t="s">
        <v>385</v>
      </c>
      <c r="I150" s="66">
        <v>2</v>
      </c>
    </row>
    <row r="151" spans="1:9" x14ac:dyDescent="0.25">
      <c r="A151" s="34">
        <v>21</v>
      </c>
      <c r="B151" s="31" t="s">
        <v>11</v>
      </c>
      <c r="C151" s="49"/>
      <c r="D151" s="174">
        <f>SUM(D152:D153)</f>
        <v>6032176173</v>
      </c>
      <c r="E151" s="174">
        <f>SUM(E152:E153)</f>
        <v>5705439394</v>
      </c>
      <c r="F151" s="174">
        <f>SUM(F152:F153)</f>
        <v>27885474</v>
      </c>
      <c r="G151" s="174">
        <f>SUM(G152:G153)</f>
        <v>298851305</v>
      </c>
      <c r="H151" s="162"/>
    </row>
    <row r="152" spans="1:9" ht="30" x14ac:dyDescent="0.25">
      <c r="A152" s="52">
        <v>21.1</v>
      </c>
      <c r="B152" s="162" t="s">
        <v>261</v>
      </c>
      <c r="C152" s="49">
        <v>2017</v>
      </c>
      <c r="D152" s="175">
        <v>3876041000</v>
      </c>
      <c r="E152" s="175">
        <v>3676358072</v>
      </c>
      <c r="F152" s="175">
        <v>130389</v>
      </c>
      <c r="G152" s="175">
        <v>199552539</v>
      </c>
      <c r="H152" s="162" t="s">
        <v>320</v>
      </c>
      <c r="I152" s="66">
        <v>0</v>
      </c>
    </row>
    <row r="153" spans="1:9" ht="30" x14ac:dyDescent="0.25">
      <c r="A153" s="52">
        <v>21.2</v>
      </c>
      <c r="B153" s="162" t="s">
        <v>263</v>
      </c>
      <c r="C153" s="49">
        <v>2018</v>
      </c>
      <c r="D153" s="175">
        <v>2156135173</v>
      </c>
      <c r="E153" s="175">
        <v>2029081322</v>
      </c>
      <c r="F153" s="175">
        <v>27755085</v>
      </c>
      <c r="G153" s="175">
        <v>99298766</v>
      </c>
      <c r="H153" s="162" t="s">
        <v>320</v>
      </c>
      <c r="I153" s="66">
        <v>0</v>
      </c>
    </row>
    <row r="170" spans="6:6" ht="18.75" x14ac:dyDescent="0.3">
      <c r="F170" s="181">
        <v>258255779000</v>
      </c>
    </row>
    <row r="173" spans="6:6" x14ac:dyDescent="0.25">
      <c r="F173" s="182">
        <v>100696483751</v>
      </c>
    </row>
    <row r="175" spans="6:6" x14ac:dyDescent="0.25">
      <c r="F175" s="182">
        <f>F170-F173</f>
        <v>157559295249</v>
      </c>
    </row>
    <row r="178" spans="4:8" x14ac:dyDescent="0.25">
      <c r="F178" s="73">
        <v>1121345974</v>
      </c>
      <c r="G178" s="73">
        <v>135173277</v>
      </c>
      <c r="H178" s="66">
        <f>F178+G178</f>
        <v>1256519251</v>
      </c>
    </row>
    <row r="180" spans="4:8" x14ac:dyDescent="0.25">
      <c r="F180" s="182">
        <f>F175-F178</f>
        <v>156437949275</v>
      </c>
      <c r="G180" s="182">
        <v>4132749708</v>
      </c>
    </row>
    <row r="184" spans="4:8" x14ac:dyDescent="0.25">
      <c r="D184" s="182">
        <f>F170-D5</f>
        <v>102908800427</v>
      </c>
      <c r="F184" s="182">
        <f>F170-K6</f>
        <v>107187055332</v>
      </c>
    </row>
    <row r="185" spans="4:8" x14ac:dyDescent="0.25">
      <c r="F185" s="182">
        <f>F184-F178</f>
        <v>106065709358</v>
      </c>
    </row>
    <row r="186" spans="4:8" x14ac:dyDescent="0.25">
      <c r="D186" s="182">
        <f>D184-F178</f>
        <v>101787454453</v>
      </c>
      <c r="F186" s="182">
        <f>F185-G178</f>
        <v>105930536081</v>
      </c>
    </row>
  </sheetData>
  <autoFilter ref="A4:O153"/>
  <mergeCells count="10">
    <mergeCell ref="A5:B5"/>
    <mergeCell ref="F3:G3"/>
    <mergeCell ref="A1:H1"/>
    <mergeCell ref="A3:A4"/>
    <mergeCell ref="B3:B4"/>
    <mergeCell ref="C3:C4"/>
    <mergeCell ref="D3:D4"/>
    <mergeCell ref="E3:E4"/>
    <mergeCell ref="H3:H4"/>
    <mergeCell ref="A2:H2"/>
  </mergeCells>
  <pageMargins left="0.42" right="0.2" top="0.59" bottom="0.39" header="0.3" footer="0.3"/>
  <pageSetup paperSize="9" orientation="landscape" r:id="rId1"/>
  <headerFooter>
    <oddHeader>Page &amp;P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80" zoomScaleNormal="80" workbookViewId="0">
      <selection activeCell="K46" sqref="K46"/>
    </sheetView>
  </sheetViews>
  <sheetFormatPr defaultColWidth="9.140625" defaultRowHeight="15" x14ac:dyDescent="0.25"/>
  <cols>
    <col min="1" max="1" width="6.140625" style="23" customWidth="1"/>
    <col min="2" max="2" width="40.28515625" style="23" customWidth="1"/>
    <col min="3" max="3" width="10" style="29" customWidth="1"/>
    <col min="4" max="5" width="8.5703125" style="29" customWidth="1"/>
    <col min="6" max="6" width="8.85546875" style="29" customWidth="1"/>
    <col min="7" max="8" width="8.28515625" style="29" customWidth="1"/>
    <col min="9" max="9" width="33.5703125" style="23" bestFit="1" customWidth="1"/>
    <col min="10" max="16384" width="9.140625" style="23"/>
  </cols>
  <sheetData>
    <row r="1" spans="1:12" ht="15" customHeight="1" x14ac:dyDescent="0.25">
      <c r="A1" s="195" t="s">
        <v>425</v>
      </c>
      <c r="B1" s="195"/>
      <c r="C1" s="195"/>
      <c r="D1" s="195"/>
      <c r="E1" s="195"/>
      <c r="F1" s="195"/>
      <c r="G1" s="195"/>
      <c r="H1" s="195"/>
      <c r="I1" s="195"/>
      <c r="J1" s="135"/>
      <c r="K1" s="135"/>
      <c r="L1" s="135"/>
    </row>
    <row r="2" spans="1:12" x14ac:dyDescent="0.25">
      <c r="A2" s="196" t="str">
        <f>'Biểu 01'!A2:J2</f>
        <v>(Kèm Văn bản số: 2278/SNN-KH ngày 18 tháng 9 năm 2023 của Sở Nông nghiệp và PTNT)</v>
      </c>
      <c r="B2" s="196"/>
      <c r="C2" s="196"/>
      <c r="D2" s="196"/>
      <c r="E2" s="196"/>
      <c r="F2" s="196"/>
      <c r="G2" s="196"/>
      <c r="H2" s="196"/>
      <c r="I2" s="196"/>
      <c r="J2" s="147"/>
      <c r="K2" s="147"/>
      <c r="L2" s="147"/>
    </row>
    <row r="3" spans="1:12" ht="15" customHeight="1" x14ac:dyDescent="0.25">
      <c r="A3" s="185">
        <v>2</v>
      </c>
      <c r="B3" s="185" t="s">
        <v>402</v>
      </c>
      <c r="C3" s="185" t="s">
        <v>418</v>
      </c>
      <c r="D3" s="185" t="s">
        <v>419</v>
      </c>
      <c r="E3" s="185" t="s">
        <v>423</v>
      </c>
      <c r="F3" s="185"/>
      <c r="G3" s="185"/>
      <c r="H3" s="185"/>
      <c r="I3" s="197" t="s">
        <v>19</v>
      </c>
    </row>
    <row r="4" spans="1:12" ht="85.5" x14ac:dyDescent="0.25">
      <c r="A4" s="185"/>
      <c r="B4" s="185"/>
      <c r="C4" s="185"/>
      <c r="D4" s="185"/>
      <c r="E4" s="119" t="s">
        <v>424</v>
      </c>
      <c r="F4" s="119" t="s">
        <v>422</v>
      </c>
      <c r="G4" s="119" t="s">
        <v>421</v>
      </c>
      <c r="H4" s="119" t="s">
        <v>420</v>
      </c>
      <c r="I4" s="197"/>
    </row>
    <row r="5" spans="1:12" x14ac:dyDescent="0.25">
      <c r="A5" s="186" t="s">
        <v>400</v>
      </c>
      <c r="B5" s="186"/>
      <c r="C5" s="58">
        <f t="shared" ref="C5:H5" si="0">C6+C14</f>
        <v>2272.6000000000004</v>
      </c>
      <c r="D5" s="58">
        <f t="shared" si="0"/>
        <v>348.98</v>
      </c>
      <c r="E5" s="58">
        <f t="shared" si="0"/>
        <v>207.92</v>
      </c>
      <c r="F5" s="58">
        <f t="shared" si="0"/>
        <v>105.61999999999999</v>
      </c>
      <c r="G5" s="58">
        <f t="shared" si="0"/>
        <v>32.36</v>
      </c>
      <c r="H5" s="58">
        <f t="shared" si="0"/>
        <v>3.0800000000000005</v>
      </c>
      <c r="I5" s="32"/>
      <c r="K5" s="158">
        <f>E5/D5*100</f>
        <v>59.579345521233307</v>
      </c>
      <c r="L5" s="158">
        <f>F5/D5*100</f>
        <v>30.265344718895058</v>
      </c>
    </row>
    <row r="6" spans="1:12" ht="28.5" x14ac:dyDescent="0.25">
      <c r="A6" s="120" t="s">
        <v>322</v>
      </c>
      <c r="B6" s="120" t="s">
        <v>325</v>
      </c>
      <c r="C6" s="56">
        <f t="shared" ref="C6:H6" si="1">SUM(C7:C13)</f>
        <v>235.67</v>
      </c>
      <c r="D6" s="56">
        <f t="shared" si="1"/>
        <v>42.819999999999993</v>
      </c>
      <c r="E6" s="56">
        <f t="shared" si="1"/>
        <v>27.99</v>
      </c>
      <c r="F6" s="56">
        <f t="shared" si="1"/>
        <v>9.2199999999999989</v>
      </c>
      <c r="G6" s="56">
        <f t="shared" si="1"/>
        <v>4.9700000000000006</v>
      </c>
      <c r="H6" s="56">
        <f t="shared" si="1"/>
        <v>0.64</v>
      </c>
      <c r="I6" s="22"/>
      <c r="J6" s="158"/>
      <c r="K6" s="158">
        <f>G5/D5*100</f>
        <v>9.2727376927044531</v>
      </c>
      <c r="L6" s="158">
        <f>H5/D5*100</f>
        <v>0.88257206716717307</v>
      </c>
    </row>
    <row r="7" spans="1:12" x14ac:dyDescent="0.25">
      <c r="A7" s="124">
        <v>1</v>
      </c>
      <c r="B7" s="126" t="s">
        <v>13</v>
      </c>
      <c r="C7" s="27">
        <v>24.490000000000002</v>
      </c>
      <c r="D7" s="27">
        <v>3.9899999999999998</v>
      </c>
      <c r="E7" s="27">
        <v>2.3499999999999996</v>
      </c>
      <c r="F7" s="27">
        <v>0.99</v>
      </c>
      <c r="G7" s="27">
        <v>0.64999999999999991</v>
      </c>
      <c r="H7" s="27"/>
      <c r="I7" s="41"/>
      <c r="J7" s="158"/>
    </row>
    <row r="8" spans="1:12" x14ac:dyDescent="0.25">
      <c r="A8" s="124">
        <v>2</v>
      </c>
      <c r="B8" s="126" t="s">
        <v>7</v>
      </c>
      <c r="C8" s="27">
        <v>19.29</v>
      </c>
      <c r="D8" s="27">
        <v>2.73</v>
      </c>
      <c r="E8" s="27">
        <v>0.23</v>
      </c>
      <c r="F8" s="27">
        <v>1.65</v>
      </c>
      <c r="G8" s="27">
        <v>0.21000000000000019</v>
      </c>
      <c r="H8" s="27">
        <v>0.64</v>
      </c>
      <c r="I8" s="41"/>
      <c r="J8" s="158"/>
    </row>
    <row r="9" spans="1:12" x14ac:dyDescent="0.25">
      <c r="A9" s="124">
        <v>3</v>
      </c>
      <c r="B9" s="126" t="s">
        <v>95</v>
      </c>
      <c r="C9" s="27">
        <v>14.58</v>
      </c>
      <c r="D9" s="27">
        <v>1.8</v>
      </c>
      <c r="E9" s="27">
        <v>1.8</v>
      </c>
      <c r="F9" s="27"/>
      <c r="G9" s="27"/>
      <c r="H9" s="27"/>
      <c r="I9" s="41"/>
      <c r="J9" s="158"/>
    </row>
    <row r="10" spans="1:12" x14ac:dyDescent="0.25">
      <c r="A10" s="124">
        <v>4</v>
      </c>
      <c r="B10" s="126" t="s">
        <v>5</v>
      </c>
      <c r="C10" s="27">
        <v>24.040000000000003</v>
      </c>
      <c r="D10" s="27">
        <v>3.19</v>
      </c>
      <c r="E10" s="27"/>
      <c r="F10" s="27">
        <v>0.32</v>
      </c>
      <c r="G10" s="27">
        <v>2.87</v>
      </c>
      <c r="H10" s="27"/>
      <c r="I10" s="41"/>
      <c r="J10" s="158"/>
    </row>
    <row r="11" spans="1:12" x14ac:dyDescent="0.25">
      <c r="A11" s="124">
        <v>5</v>
      </c>
      <c r="B11" s="126" t="s">
        <v>3</v>
      </c>
      <c r="C11" s="27">
        <v>70.929999999999993</v>
      </c>
      <c r="D11" s="27">
        <v>15.919999999999998</v>
      </c>
      <c r="E11" s="27">
        <v>9.7199999999999989</v>
      </c>
      <c r="F11" s="27">
        <v>5.5299999999999994</v>
      </c>
      <c r="G11" s="27">
        <v>0.66999999999999982</v>
      </c>
      <c r="H11" s="27"/>
      <c r="I11" s="41"/>
      <c r="J11" s="158"/>
    </row>
    <row r="12" spans="1:12" x14ac:dyDescent="0.25">
      <c r="A12" s="124">
        <v>6</v>
      </c>
      <c r="B12" s="126" t="s">
        <v>9</v>
      </c>
      <c r="C12" s="27">
        <v>33.340000000000003</v>
      </c>
      <c r="D12" s="27">
        <v>8.3699999999999992</v>
      </c>
      <c r="E12" s="27">
        <v>8.3699999999999992</v>
      </c>
      <c r="F12" s="27"/>
      <c r="G12" s="27"/>
      <c r="H12" s="27"/>
      <c r="I12" s="41"/>
      <c r="J12" s="158"/>
    </row>
    <row r="13" spans="1:12" x14ac:dyDescent="0.25">
      <c r="A13" s="124">
        <v>7</v>
      </c>
      <c r="B13" s="126" t="s">
        <v>11</v>
      </c>
      <c r="C13" s="27">
        <v>49</v>
      </c>
      <c r="D13" s="27">
        <v>6.8199999999999994</v>
      </c>
      <c r="E13" s="27">
        <v>5.52</v>
      </c>
      <c r="F13" s="27">
        <v>0.73</v>
      </c>
      <c r="G13" s="27">
        <v>0.56999999999999984</v>
      </c>
      <c r="H13" s="27"/>
      <c r="I13" s="41"/>
      <c r="J13" s="158"/>
    </row>
    <row r="14" spans="1:12" ht="28.5" x14ac:dyDescent="0.25">
      <c r="A14" s="120" t="s">
        <v>324</v>
      </c>
      <c r="B14" s="120" t="s">
        <v>323</v>
      </c>
      <c r="C14" s="58">
        <f t="shared" ref="C14:H14" si="2">SUM(C15:C35)</f>
        <v>2036.9300000000003</v>
      </c>
      <c r="D14" s="58">
        <f t="shared" si="2"/>
        <v>306.16000000000003</v>
      </c>
      <c r="E14" s="58">
        <f t="shared" si="2"/>
        <v>179.92999999999998</v>
      </c>
      <c r="F14" s="58">
        <f t="shared" si="2"/>
        <v>96.399999999999991</v>
      </c>
      <c r="G14" s="58">
        <f t="shared" si="2"/>
        <v>27.39</v>
      </c>
      <c r="H14" s="58">
        <f t="shared" si="2"/>
        <v>2.4400000000000004</v>
      </c>
      <c r="I14" s="32"/>
      <c r="J14" s="158"/>
    </row>
    <row r="15" spans="1:12" x14ac:dyDescent="0.25">
      <c r="A15" s="124">
        <v>1</v>
      </c>
      <c r="B15" s="126" t="s">
        <v>16</v>
      </c>
      <c r="C15" s="59">
        <v>206.79</v>
      </c>
      <c r="D15" s="27">
        <v>27.97</v>
      </c>
      <c r="E15" s="27">
        <v>18.27</v>
      </c>
      <c r="F15" s="27">
        <v>8.33</v>
      </c>
      <c r="G15" s="27">
        <v>1.1500000000000001</v>
      </c>
      <c r="H15" s="27">
        <v>0.22000000000000064</v>
      </c>
      <c r="I15" s="32"/>
      <c r="J15" s="158"/>
    </row>
    <row r="16" spans="1:12" x14ac:dyDescent="0.25">
      <c r="A16" s="124">
        <v>2</v>
      </c>
      <c r="B16" s="126" t="s">
        <v>6</v>
      </c>
      <c r="C16" s="27">
        <v>32.700000000000003</v>
      </c>
      <c r="D16" s="27">
        <v>7.3599999999999994</v>
      </c>
      <c r="E16" s="27">
        <v>4.41</v>
      </c>
      <c r="F16" s="27">
        <v>2.58</v>
      </c>
      <c r="G16" s="27">
        <v>0.36999999999999966</v>
      </c>
      <c r="H16" s="27">
        <v>0</v>
      </c>
      <c r="I16" s="22"/>
      <c r="J16" s="158"/>
    </row>
    <row r="17" spans="1:10" x14ac:dyDescent="0.25">
      <c r="A17" s="124">
        <v>3</v>
      </c>
      <c r="B17" s="126" t="s">
        <v>13</v>
      </c>
      <c r="C17" s="27">
        <v>144.4</v>
      </c>
      <c r="D17" s="27">
        <v>17.570000000000004</v>
      </c>
      <c r="E17" s="27">
        <v>10.490000000000002</v>
      </c>
      <c r="F17" s="27">
        <v>2.65</v>
      </c>
      <c r="G17" s="27">
        <v>4.43</v>
      </c>
      <c r="H17" s="27">
        <v>0</v>
      </c>
      <c r="I17" s="22"/>
      <c r="J17" s="158"/>
    </row>
    <row r="18" spans="1:10" x14ac:dyDescent="0.25">
      <c r="A18" s="124">
        <v>4</v>
      </c>
      <c r="B18" s="126" t="s">
        <v>92</v>
      </c>
      <c r="C18" s="27">
        <v>100.65</v>
      </c>
      <c r="D18" s="27">
        <v>15.979999999999999</v>
      </c>
      <c r="E18" s="27"/>
      <c r="F18" s="27">
        <v>14.8</v>
      </c>
      <c r="G18" s="27">
        <v>1.1799999999999995</v>
      </c>
      <c r="H18" s="27">
        <v>0</v>
      </c>
      <c r="I18" s="22"/>
      <c r="J18" s="158"/>
    </row>
    <row r="19" spans="1:10" x14ac:dyDescent="0.25">
      <c r="A19" s="124">
        <v>5</v>
      </c>
      <c r="B19" s="126" t="s">
        <v>7</v>
      </c>
      <c r="C19" s="27">
        <v>234.42000000000002</v>
      </c>
      <c r="D19" s="27">
        <v>31.119999999999997</v>
      </c>
      <c r="E19" s="27">
        <v>6.87</v>
      </c>
      <c r="F19" s="27">
        <v>19.09</v>
      </c>
      <c r="G19" s="27">
        <v>4.7200000000000006</v>
      </c>
      <c r="H19" s="27">
        <v>0.43999999999999995</v>
      </c>
      <c r="I19" s="22"/>
      <c r="J19" s="158"/>
    </row>
    <row r="20" spans="1:10" x14ac:dyDescent="0.25">
      <c r="A20" s="124">
        <v>6</v>
      </c>
      <c r="B20" s="126" t="s">
        <v>93</v>
      </c>
      <c r="C20" s="27">
        <v>2.35</v>
      </c>
      <c r="D20" s="27">
        <v>2.35</v>
      </c>
      <c r="E20" s="27"/>
      <c r="F20" s="27">
        <v>1.8</v>
      </c>
      <c r="G20" s="27">
        <v>0.55000000000000004</v>
      </c>
      <c r="H20" s="27">
        <v>0</v>
      </c>
      <c r="I20" s="22"/>
      <c r="J20" s="158"/>
    </row>
    <row r="21" spans="1:10" x14ac:dyDescent="0.25">
      <c r="A21" s="124">
        <v>7</v>
      </c>
      <c r="B21" s="126" t="s">
        <v>95</v>
      </c>
      <c r="C21" s="27">
        <v>104.21000000000001</v>
      </c>
      <c r="D21" s="27">
        <v>22.17</v>
      </c>
      <c r="E21" s="27">
        <v>10.63</v>
      </c>
      <c r="F21" s="27">
        <v>10.32</v>
      </c>
      <c r="G21" s="27">
        <v>1.22</v>
      </c>
      <c r="H21" s="27">
        <v>0</v>
      </c>
      <c r="I21" s="22"/>
      <c r="J21" s="158"/>
    </row>
    <row r="22" spans="1:10" x14ac:dyDescent="0.25">
      <c r="A22" s="124">
        <v>8</v>
      </c>
      <c r="B22" s="126" t="s">
        <v>5</v>
      </c>
      <c r="C22" s="27">
        <v>144.36999999999998</v>
      </c>
      <c r="D22" s="27">
        <v>26.66</v>
      </c>
      <c r="E22" s="27">
        <v>17.21</v>
      </c>
      <c r="F22" s="27">
        <v>4.59</v>
      </c>
      <c r="G22" s="27">
        <v>4.6899999999999995</v>
      </c>
      <c r="H22" s="27">
        <v>0.16999999999999993</v>
      </c>
      <c r="I22" s="22"/>
      <c r="J22" s="158"/>
    </row>
    <row r="23" spans="1:10" x14ac:dyDescent="0.25">
      <c r="A23" s="124">
        <v>9</v>
      </c>
      <c r="B23" s="126" t="s">
        <v>3</v>
      </c>
      <c r="C23" s="27">
        <v>98.14</v>
      </c>
      <c r="D23" s="27">
        <v>9.25</v>
      </c>
      <c r="E23" s="27">
        <v>4.58</v>
      </c>
      <c r="F23" s="27">
        <v>3.63</v>
      </c>
      <c r="G23" s="27">
        <v>1.0400000000000005</v>
      </c>
      <c r="H23" s="27">
        <v>0</v>
      </c>
      <c r="I23" s="22"/>
      <c r="J23" s="158"/>
    </row>
    <row r="24" spans="1:10" x14ac:dyDescent="0.25">
      <c r="A24" s="124">
        <v>10</v>
      </c>
      <c r="B24" s="126" t="s">
        <v>10</v>
      </c>
      <c r="C24" s="27">
        <v>56.9</v>
      </c>
      <c r="D24" s="27">
        <v>7.2</v>
      </c>
      <c r="E24" s="27">
        <v>3.2</v>
      </c>
      <c r="F24" s="27">
        <v>4</v>
      </c>
      <c r="G24" s="27"/>
      <c r="H24" s="27"/>
      <c r="I24" s="22"/>
      <c r="J24" s="158"/>
    </row>
    <row r="25" spans="1:10" x14ac:dyDescent="0.25">
      <c r="A25" s="124">
        <v>11</v>
      </c>
      <c r="B25" s="126" t="s">
        <v>94</v>
      </c>
      <c r="C25" s="27">
        <v>9.6999999999999993</v>
      </c>
      <c r="D25" s="27">
        <v>2.6</v>
      </c>
      <c r="E25" s="27">
        <v>2.6</v>
      </c>
      <c r="F25" s="27"/>
      <c r="G25" s="27"/>
      <c r="H25" s="27"/>
      <c r="I25" s="22"/>
      <c r="J25" s="158"/>
    </row>
    <row r="26" spans="1:10" x14ac:dyDescent="0.25">
      <c r="A26" s="124">
        <v>12</v>
      </c>
      <c r="B26" s="126" t="s">
        <v>9</v>
      </c>
      <c r="C26" s="27">
        <v>166.09</v>
      </c>
      <c r="D26" s="27">
        <v>26.54</v>
      </c>
      <c r="E26" s="27">
        <v>26.54</v>
      </c>
      <c r="F26" s="27"/>
      <c r="G26" s="27"/>
      <c r="H26" s="27"/>
      <c r="I26" s="22"/>
      <c r="J26" s="158"/>
    </row>
    <row r="27" spans="1:10" x14ac:dyDescent="0.25">
      <c r="A27" s="124">
        <v>13</v>
      </c>
      <c r="B27" s="126" t="s">
        <v>8</v>
      </c>
      <c r="C27" s="27">
        <v>210.92999999999998</v>
      </c>
      <c r="D27" s="27">
        <v>47.4</v>
      </c>
      <c r="E27" s="27">
        <v>25.020000000000003</v>
      </c>
      <c r="F27" s="27">
        <v>17.559999999999999</v>
      </c>
      <c r="G27" s="27">
        <v>4.0199999999999996</v>
      </c>
      <c r="H27" s="27">
        <v>0.79999999999999993</v>
      </c>
      <c r="I27" s="22"/>
      <c r="J27" s="158"/>
    </row>
    <row r="28" spans="1:10" x14ac:dyDescent="0.25">
      <c r="A28" s="124">
        <v>14</v>
      </c>
      <c r="B28" s="126" t="s">
        <v>96</v>
      </c>
      <c r="C28" s="27">
        <v>93.8</v>
      </c>
      <c r="D28" s="27">
        <v>10.440000000000001</v>
      </c>
      <c r="E28" s="27">
        <v>10.440000000000001</v>
      </c>
      <c r="F28" s="27"/>
      <c r="G28" s="27"/>
      <c r="H28" s="27"/>
      <c r="I28" s="22"/>
      <c r="J28" s="158"/>
    </row>
    <row r="29" spans="1:10" x14ac:dyDescent="0.25">
      <c r="A29" s="124">
        <v>15</v>
      </c>
      <c r="B29" s="126" t="s">
        <v>76</v>
      </c>
      <c r="C29" s="27">
        <v>18.82</v>
      </c>
      <c r="D29" s="27">
        <v>7.29</v>
      </c>
      <c r="E29" s="27">
        <v>7.29</v>
      </c>
      <c r="F29" s="27"/>
      <c r="G29" s="27"/>
      <c r="H29" s="27"/>
      <c r="I29" s="22"/>
      <c r="J29" s="158"/>
    </row>
    <row r="30" spans="1:10" x14ac:dyDescent="0.25">
      <c r="A30" s="124">
        <v>16</v>
      </c>
      <c r="B30" s="126" t="s">
        <v>4</v>
      </c>
      <c r="C30" s="27">
        <v>28.4</v>
      </c>
      <c r="D30" s="27">
        <v>12.68</v>
      </c>
      <c r="E30" s="27">
        <v>8.9700000000000006</v>
      </c>
      <c r="F30" s="27"/>
      <c r="G30" s="27">
        <v>3.71</v>
      </c>
      <c r="H30" s="27">
        <v>0</v>
      </c>
      <c r="I30" s="22"/>
      <c r="J30" s="158"/>
    </row>
    <row r="31" spans="1:10" x14ac:dyDescent="0.25">
      <c r="A31" s="124">
        <v>17</v>
      </c>
      <c r="B31" s="126" t="s">
        <v>98</v>
      </c>
      <c r="C31" s="27">
        <v>127.23</v>
      </c>
      <c r="D31" s="27">
        <v>10.030000000000001</v>
      </c>
      <c r="E31" s="27">
        <v>10.030000000000001</v>
      </c>
      <c r="F31" s="27"/>
      <c r="G31" s="27"/>
      <c r="H31" s="27"/>
      <c r="I31" s="22"/>
      <c r="J31" s="158"/>
    </row>
    <row r="32" spans="1:10" x14ac:dyDescent="0.25">
      <c r="A32" s="124">
        <v>18</v>
      </c>
      <c r="B32" s="126" t="s">
        <v>97</v>
      </c>
      <c r="C32" s="27">
        <v>41.54</v>
      </c>
      <c r="D32" s="27"/>
      <c r="E32" s="27"/>
      <c r="F32" s="27"/>
      <c r="G32" s="27"/>
      <c r="H32" s="27"/>
      <c r="I32" s="22"/>
      <c r="J32" s="158"/>
    </row>
    <row r="33" spans="1:10" x14ac:dyDescent="0.25">
      <c r="A33" s="124">
        <v>19</v>
      </c>
      <c r="B33" s="126" t="s">
        <v>2</v>
      </c>
      <c r="C33" s="27">
        <v>56.760000000000005</v>
      </c>
      <c r="D33" s="27"/>
      <c r="E33" s="27"/>
      <c r="F33" s="27"/>
      <c r="G33" s="27"/>
      <c r="H33" s="27"/>
      <c r="I33" s="22"/>
      <c r="J33" s="158"/>
    </row>
    <row r="34" spans="1:10" x14ac:dyDescent="0.25">
      <c r="A34" s="124">
        <v>20</v>
      </c>
      <c r="B34" s="126" t="s">
        <v>99</v>
      </c>
      <c r="C34" s="27">
        <v>69.540000000000006</v>
      </c>
      <c r="D34" s="27">
        <v>8.17</v>
      </c>
      <c r="E34" s="27"/>
      <c r="F34" s="27">
        <v>7.05</v>
      </c>
      <c r="G34" s="27">
        <v>0.31</v>
      </c>
      <c r="H34" s="27">
        <v>0.81000000000000016</v>
      </c>
      <c r="I34" s="22"/>
      <c r="J34" s="158"/>
    </row>
    <row r="35" spans="1:10" x14ac:dyDescent="0.25">
      <c r="A35" s="124">
        <v>21</v>
      </c>
      <c r="B35" s="126" t="s">
        <v>11</v>
      </c>
      <c r="C35" s="27">
        <v>89.19</v>
      </c>
      <c r="D35" s="27">
        <v>13.379999999999999</v>
      </c>
      <c r="E35" s="27">
        <v>13.379999999999999</v>
      </c>
      <c r="F35" s="27"/>
      <c r="G35" s="27"/>
      <c r="H35" s="27"/>
      <c r="I35" s="22"/>
      <c r="J35" s="158"/>
    </row>
  </sheetData>
  <mergeCells count="9">
    <mergeCell ref="A5:B5"/>
    <mergeCell ref="E3:H3"/>
    <mergeCell ref="C3:C4"/>
    <mergeCell ref="D3:D4"/>
    <mergeCell ref="A1:I1"/>
    <mergeCell ref="A2:I2"/>
    <mergeCell ref="A3:A4"/>
    <mergeCell ref="B3:B4"/>
    <mergeCell ref="I3:I4"/>
  </mergeCells>
  <printOptions horizontalCentered="1"/>
  <pageMargins left="0.45" right="0.45" top="0.5" bottom="0.5" header="0.3" footer="0.3"/>
  <pageSetup paperSize="9" orientation="landscape"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zoomScale="130" zoomScaleNormal="130" workbookViewId="0">
      <selection activeCell="B130" sqref="B130"/>
    </sheetView>
  </sheetViews>
  <sheetFormatPr defaultRowHeight="15" x14ac:dyDescent="0.25"/>
  <cols>
    <col min="1" max="1" width="6" style="74" customWidth="1"/>
    <col min="2" max="2" width="35.85546875" style="74" customWidth="1"/>
    <col min="3" max="3" width="6.28515625" style="74" bestFit="1" customWidth="1"/>
    <col min="4" max="4" width="6" style="74" customWidth="1"/>
    <col min="5" max="5" width="4.140625" style="74" bestFit="1" customWidth="1"/>
    <col min="6" max="6" width="5" style="74" bestFit="1" customWidth="1"/>
    <col min="7" max="7" width="9.140625" style="74"/>
    <col min="8" max="8" width="8.140625" style="74" customWidth="1"/>
    <col min="9" max="9" width="8.7109375" style="74" customWidth="1"/>
    <col min="10" max="10" width="8.42578125" style="74" customWidth="1"/>
    <col min="11" max="11" width="10.42578125" style="74" customWidth="1"/>
    <col min="12" max="12" width="26.5703125" style="74" customWidth="1"/>
    <col min="13" max="237" width="9.140625" style="74"/>
    <col min="238" max="238" width="4.5703125" style="74" customWidth="1"/>
    <col min="239" max="239" width="13.7109375" style="74" customWidth="1"/>
    <col min="240" max="240" width="19" style="74" customWidth="1"/>
    <col min="241" max="241" width="6.42578125" style="74" customWidth="1"/>
    <col min="242" max="242" width="4.140625" style="74" bestFit="1" customWidth="1"/>
    <col min="243" max="243" width="3.85546875" style="74" customWidth="1"/>
    <col min="244" max="244" width="7.42578125" style="74" customWidth="1"/>
    <col min="245" max="245" width="7.28515625" style="74" customWidth="1"/>
    <col min="246" max="246" width="5.85546875" style="74" bestFit="1" customWidth="1"/>
    <col min="247" max="247" width="9.7109375" style="74" customWidth="1"/>
    <col min="248" max="248" width="7.7109375" style="74" customWidth="1"/>
    <col min="249" max="249" width="5.85546875" style="74" bestFit="1" customWidth="1"/>
    <col min="250" max="250" width="32" style="74" customWidth="1"/>
    <col min="251" max="493" width="9.140625" style="74"/>
    <col min="494" max="494" width="4.5703125" style="74" customWidth="1"/>
    <col min="495" max="495" width="13.7109375" style="74" customWidth="1"/>
    <col min="496" max="496" width="19" style="74" customWidth="1"/>
    <col min="497" max="497" width="6.42578125" style="74" customWidth="1"/>
    <col min="498" max="498" width="4.140625" style="74" bestFit="1" customWidth="1"/>
    <col min="499" max="499" width="3.85546875" style="74" customWidth="1"/>
    <col min="500" max="500" width="7.42578125" style="74" customWidth="1"/>
    <col min="501" max="501" width="7.28515625" style="74" customWidth="1"/>
    <col min="502" max="502" width="5.85546875" style="74" bestFit="1" customWidth="1"/>
    <col min="503" max="503" width="9.7109375" style="74" customWidth="1"/>
    <col min="504" max="504" width="7.7109375" style="74" customWidth="1"/>
    <col min="505" max="505" width="5.85546875" style="74" bestFit="1" customWidth="1"/>
    <col min="506" max="506" width="32" style="74" customWidth="1"/>
    <col min="507" max="749" width="9.140625" style="74"/>
    <col min="750" max="750" width="4.5703125" style="74" customWidth="1"/>
    <col min="751" max="751" width="13.7109375" style="74" customWidth="1"/>
    <col min="752" max="752" width="19" style="74" customWidth="1"/>
    <col min="753" max="753" width="6.42578125" style="74" customWidth="1"/>
    <col min="754" max="754" width="4.140625" style="74" bestFit="1" customWidth="1"/>
    <col min="755" max="755" width="3.85546875" style="74" customWidth="1"/>
    <col min="756" max="756" width="7.42578125" style="74" customWidth="1"/>
    <col min="757" max="757" width="7.28515625" style="74" customWidth="1"/>
    <col min="758" max="758" width="5.85546875" style="74" bestFit="1" customWidth="1"/>
    <col min="759" max="759" width="9.7109375" style="74" customWidth="1"/>
    <col min="760" max="760" width="7.7109375" style="74" customWidth="1"/>
    <col min="761" max="761" width="5.85546875" style="74" bestFit="1" customWidth="1"/>
    <col min="762" max="762" width="32" style="74" customWidth="1"/>
    <col min="763" max="1005" width="9.140625" style="74"/>
    <col min="1006" max="1006" width="4.5703125" style="74" customWidth="1"/>
    <col min="1007" max="1007" width="13.7109375" style="74" customWidth="1"/>
    <col min="1008" max="1008" width="19" style="74" customWidth="1"/>
    <col min="1009" max="1009" width="6.42578125" style="74" customWidth="1"/>
    <col min="1010" max="1010" width="4.140625" style="74" bestFit="1" customWidth="1"/>
    <col min="1011" max="1011" width="3.85546875" style="74" customWidth="1"/>
    <col min="1012" max="1012" width="7.42578125" style="74" customWidth="1"/>
    <col min="1013" max="1013" width="7.28515625" style="74" customWidth="1"/>
    <col min="1014" max="1014" width="5.85546875" style="74" bestFit="1" customWidth="1"/>
    <col min="1015" max="1015" width="9.7109375" style="74" customWidth="1"/>
    <col min="1016" max="1016" width="7.7109375" style="74" customWidth="1"/>
    <col min="1017" max="1017" width="5.85546875" style="74" bestFit="1" customWidth="1"/>
    <col min="1018" max="1018" width="32" style="74" customWidth="1"/>
    <col min="1019" max="1261" width="9.140625" style="74"/>
    <col min="1262" max="1262" width="4.5703125" style="74" customWidth="1"/>
    <col min="1263" max="1263" width="13.7109375" style="74" customWidth="1"/>
    <col min="1264" max="1264" width="19" style="74" customWidth="1"/>
    <col min="1265" max="1265" width="6.42578125" style="74" customWidth="1"/>
    <col min="1266" max="1266" width="4.140625" style="74" bestFit="1" customWidth="1"/>
    <col min="1267" max="1267" width="3.85546875" style="74" customWidth="1"/>
    <col min="1268" max="1268" width="7.42578125" style="74" customWidth="1"/>
    <col min="1269" max="1269" width="7.28515625" style="74" customWidth="1"/>
    <col min="1270" max="1270" width="5.85546875" style="74" bestFit="1" customWidth="1"/>
    <col min="1271" max="1271" width="9.7109375" style="74" customWidth="1"/>
    <col min="1272" max="1272" width="7.7109375" style="74" customWidth="1"/>
    <col min="1273" max="1273" width="5.85546875" style="74" bestFit="1" customWidth="1"/>
    <col min="1274" max="1274" width="32" style="74" customWidth="1"/>
    <col min="1275" max="1517" width="9.140625" style="74"/>
    <col min="1518" max="1518" width="4.5703125" style="74" customWidth="1"/>
    <col min="1519" max="1519" width="13.7109375" style="74" customWidth="1"/>
    <col min="1520" max="1520" width="19" style="74" customWidth="1"/>
    <col min="1521" max="1521" width="6.42578125" style="74" customWidth="1"/>
    <col min="1522" max="1522" width="4.140625" style="74" bestFit="1" customWidth="1"/>
    <col min="1523" max="1523" width="3.85546875" style="74" customWidth="1"/>
    <col min="1524" max="1524" width="7.42578125" style="74" customWidth="1"/>
    <col min="1525" max="1525" width="7.28515625" style="74" customWidth="1"/>
    <col min="1526" max="1526" width="5.85546875" style="74" bestFit="1" customWidth="1"/>
    <col min="1527" max="1527" width="9.7109375" style="74" customWidth="1"/>
    <col min="1528" max="1528" width="7.7109375" style="74" customWidth="1"/>
    <col min="1529" max="1529" width="5.85546875" style="74" bestFit="1" customWidth="1"/>
    <col min="1530" max="1530" width="32" style="74" customWidth="1"/>
    <col min="1531" max="1773" width="9.140625" style="74"/>
    <col min="1774" max="1774" width="4.5703125" style="74" customWidth="1"/>
    <col min="1775" max="1775" width="13.7109375" style="74" customWidth="1"/>
    <col min="1776" max="1776" width="19" style="74" customWidth="1"/>
    <col min="1777" max="1777" width="6.42578125" style="74" customWidth="1"/>
    <col min="1778" max="1778" width="4.140625" style="74" bestFit="1" customWidth="1"/>
    <col min="1779" max="1779" width="3.85546875" style="74" customWidth="1"/>
    <col min="1780" max="1780" width="7.42578125" style="74" customWidth="1"/>
    <col min="1781" max="1781" width="7.28515625" style="74" customWidth="1"/>
    <col min="1782" max="1782" width="5.85546875" style="74" bestFit="1" customWidth="1"/>
    <col min="1783" max="1783" width="9.7109375" style="74" customWidth="1"/>
    <col min="1784" max="1784" width="7.7109375" style="74" customWidth="1"/>
    <col min="1785" max="1785" width="5.85546875" style="74" bestFit="1" customWidth="1"/>
    <col min="1786" max="1786" width="32" style="74" customWidth="1"/>
    <col min="1787" max="2029" width="9.140625" style="74"/>
    <col min="2030" max="2030" width="4.5703125" style="74" customWidth="1"/>
    <col min="2031" max="2031" width="13.7109375" style="74" customWidth="1"/>
    <col min="2032" max="2032" width="19" style="74" customWidth="1"/>
    <col min="2033" max="2033" width="6.42578125" style="74" customWidth="1"/>
    <col min="2034" max="2034" width="4.140625" style="74" bestFit="1" customWidth="1"/>
    <col min="2035" max="2035" width="3.85546875" style="74" customWidth="1"/>
    <col min="2036" max="2036" width="7.42578125" style="74" customWidth="1"/>
    <col min="2037" max="2037" width="7.28515625" style="74" customWidth="1"/>
    <col min="2038" max="2038" width="5.85546875" style="74" bestFit="1" customWidth="1"/>
    <col min="2039" max="2039" width="9.7109375" style="74" customWidth="1"/>
    <col min="2040" max="2040" width="7.7109375" style="74" customWidth="1"/>
    <col min="2041" max="2041" width="5.85546875" style="74" bestFit="1" customWidth="1"/>
    <col min="2042" max="2042" width="32" style="74" customWidth="1"/>
    <col min="2043" max="2285" width="9.140625" style="74"/>
    <col min="2286" max="2286" width="4.5703125" style="74" customWidth="1"/>
    <col min="2287" max="2287" width="13.7109375" style="74" customWidth="1"/>
    <col min="2288" max="2288" width="19" style="74" customWidth="1"/>
    <col min="2289" max="2289" width="6.42578125" style="74" customWidth="1"/>
    <col min="2290" max="2290" width="4.140625" style="74" bestFit="1" customWidth="1"/>
    <col min="2291" max="2291" width="3.85546875" style="74" customWidth="1"/>
    <col min="2292" max="2292" width="7.42578125" style="74" customWidth="1"/>
    <col min="2293" max="2293" width="7.28515625" style="74" customWidth="1"/>
    <col min="2294" max="2294" width="5.85546875" style="74" bestFit="1" customWidth="1"/>
    <col min="2295" max="2295" width="9.7109375" style="74" customWidth="1"/>
    <col min="2296" max="2296" width="7.7109375" style="74" customWidth="1"/>
    <col min="2297" max="2297" width="5.85546875" style="74" bestFit="1" customWidth="1"/>
    <col min="2298" max="2298" width="32" style="74" customWidth="1"/>
    <col min="2299" max="2541" width="9.140625" style="74"/>
    <col min="2542" max="2542" width="4.5703125" style="74" customWidth="1"/>
    <col min="2543" max="2543" width="13.7109375" style="74" customWidth="1"/>
    <col min="2544" max="2544" width="19" style="74" customWidth="1"/>
    <col min="2545" max="2545" width="6.42578125" style="74" customWidth="1"/>
    <col min="2546" max="2546" width="4.140625" style="74" bestFit="1" customWidth="1"/>
    <col min="2547" max="2547" width="3.85546875" style="74" customWidth="1"/>
    <col min="2548" max="2548" width="7.42578125" style="74" customWidth="1"/>
    <col min="2549" max="2549" width="7.28515625" style="74" customWidth="1"/>
    <col min="2550" max="2550" width="5.85546875" style="74" bestFit="1" customWidth="1"/>
    <col min="2551" max="2551" width="9.7109375" style="74" customWidth="1"/>
    <col min="2552" max="2552" width="7.7109375" style="74" customWidth="1"/>
    <col min="2553" max="2553" width="5.85546875" style="74" bestFit="1" customWidth="1"/>
    <col min="2554" max="2554" width="32" style="74" customWidth="1"/>
    <col min="2555" max="2797" width="9.140625" style="74"/>
    <col min="2798" max="2798" width="4.5703125" style="74" customWidth="1"/>
    <col min="2799" max="2799" width="13.7109375" style="74" customWidth="1"/>
    <col min="2800" max="2800" width="19" style="74" customWidth="1"/>
    <col min="2801" max="2801" width="6.42578125" style="74" customWidth="1"/>
    <col min="2802" max="2802" width="4.140625" style="74" bestFit="1" customWidth="1"/>
    <col min="2803" max="2803" width="3.85546875" style="74" customWidth="1"/>
    <col min="2804" max="2804" width="7.42578125" style="74" customWidth="1"/>
    <col min="2805" max="2805" width="7.28515625" style="74" customWidth="1"/>
    <col min="2806" max="2806" width="5.85546875" style="74" bestFit="1" customWidth="1"/>
    <col min="2807" max="2807" width="9.7109375" style="74" customWidth="1"/>
    <col min="2808" max="2808" width="7.7109375" style="74" customWidth="1"/>
    <col min="2809" max="2809" width="5.85546875" style="74" bestFit="1" customWidth="1"/>
    <col min="2810" max="2810" width="32" style="74" customWidth="1"/>
    <col min="2811" max="3053" width="9.140625" style="74"/>
    <col min="3054" max="3054" width="4.5703125" style="74" customWidth="1"/>
    <col min="3055" max="3055" width="13.7109375" style="74" customWidth="1"/>
    <col min="3056" max="3056" width="19" style="74" customWidth="1"/>
    <col min="3057" max="3057" width="6.42578125" style="74" customWidth="1"/>
    <col min="3058" max="3058" width="4.140625" style="74" bestFit="1" customWidth="1"/>
    <col min="3059" max="3059" width="3.85546875" style="74" customWidth="1"/>
    <col min="3060" max="3060" width="7.42578125" style="74" customWidth="1"/>
    <col min="3061" max="3061" width="7.28515625" style="74" customWidth="1"/>
    <col min="3062" max="3062" width="5.85546875" style="74" bestFit="1" customWidth="1"/>
    <col min="3063" max="3063" width="9.7109375" style="74" customWidth="1"/>
    <col min="3064" max="3064" width="7.7109375" style="74" customWidth="1"/>
    <col min="3065" max="3065" width="5.85546875" style="74" bestFit="1" customWidth="1"/>
    <col min="3066" max="3066" width="32" style="74" customWidth="1"/>
    <col min="3067" max="3309" width="9.140625" style="74"/>
    <col min="3310" max="3310" width="4.5703125" style="74" customWidth="1"/>
    <col min="3311" max="3311" width="13.7109375" style="74" customWidth="1"/>
    <col min="3312" max="3312" width="19" style="74" customWidth="1"/>
    <col min="3313" max="3313" width="6.42578125" style="74" customWidth="1"/>
    <col min="3314" max="3314" width="4.140625" style="74" bestFit="1" customWidth="1"/>
    <col min="3315" max="3315" width="3.85546875" style="74" customWidth="1"/>
    <col min="3316" max="3316" width="7.42578125" style="74" customWidth="1"/>
    <col min="3317" max="3317" width="7.28515625" style="74" customWidth="1"/>
    <col min="3318" max="3318" width="5.85546875" style="74" bestFit="1" customWidth="1"/>
    <col min="3319" max="3319" width="9.7109375" style="74" customWidth="1"/>
    <col min="3320" max="3320" width="7.7109375" style="74" customWidth="1"/>
    <col min="3321" max="3321" width="5.85546875" style="74" bestFit="1" customWidth="1"/>
    <col min="3322" max="3322" width="32" style="74" customWidth="1"/>
    <col min="3323" max="3565" width="9.140625" style="74"/>
    <col min="3566" max="3566" width="4.5703125" style="74" customWidth="1"/>
    <col min="3567" max="3567" width="13.7109375" style="74" customWidth="1"/>
    <col min="3568" max="3568" width="19" style="74" customWidth="1"/>
    <col min="3569" max="3569" width="6.42578125" style="74" customWidth="1"/>
    <col min="3570" max="3570" width="4.140625" style="74" bestFit="1" customWidth="1"/>
    <col min="3571" max="3571" width="3.85546875" style="74" customWidth="1"/>
    <col min="3572" max="3572" width="7.42578125" style="74" customWidth="1"/>
    <col min="3573" max="3573" width="7.28515625" style="74" customWidth="1"/>
    <col min="3574" max="3574" width="5.85546875" style="74" bestFit="1" customWidth="1"/>
    <col min="3575" max="3575" width="9.7109375" style="74" customWidth="1"/>
    <col min="3576" max="3576" width="7.7109375" style="74" customWidth="1"/>
    <col min="3577" max="3577" width="5.85546875" style="74" bestFit="1" customWidth="1"/>
    <col min="3578" max="3578" width="32" style="74" customWidth="1"/>
    <col min="3579" max="3821" width="9.140625" style="74"/>
    <col min="3822" max="3822" width="4.5703125" style="74" customWidth="1"/>
    <col min="3823" max="3823" width="13.7109375" style="74" customWidth="1"/>
    <col min="3824" max="3824" width="19" style="74" customWidth="1"/>
    <col min="3825" max="3825" width="6.42578125" style="74" customWidth="1"/>
    <col min="3826" max="3826" width="4.140625" style="74" bestFit="1" customWidth="1"/>
    <col min="3827" max="3827" width="3.85546875" style="74" customWidth="1"/>
    <col min="3828" max="3828" width="7.42578125" style="74" customWidth="1"/>
    <col min="3829" max="3829" width="7.28515625" style="74" customWidth="1"/>
    <col min="3830" max="3830" width="5.85546875" style="74" bestFit="1" customWidth="1"/>
    <col min="3831" max="3831" width="9.7109375" style="74" customWidth="1"/>
    <col min="3832" max="3832" width="7.7109375" style="74" customWidth="1"/>
    <col min="3833" max="3833" width="5.85546875" style="74" bestFit="1" customWidth="1"/>
    <col min="3834" max="3834" width="32" style="74" customWidth="1"/>
    <col min="3835" max="4077" width="9.140625" style="74"/>
    <col min="4078" max="4078" width="4.5703125" style="74" customWidth="1"/>
    <col min="4079" max="4079" width="13.7109375" style="74" customWidth="1"/>
    <col min="4080" max="4080" width="19" style="74" customWidth="1"/>
    <col min="4081" max="4081" width="6.42578125" style="74" customWidth="1"/>
    <col min="4082" max="4082" width="4.140625" style="74" bestFit="1" customWidth="1"/>
    <col min="4083" max="4083" width="3.85546875" style="74" customWidth="1"/>
    <col min="4084" max="4084" width="7.42578125" style="74" customWidth="1"/>
    <col min="4085" max="4085" width="7.28515625" style="74" customWidth="1"/>
    <col min="4086" max="4086" width="5.85546875" style="74" bestFit="1" customWidth="1"/>
    <col min="4087" max="4087" width="9.7109375" style="74" customWidth="1"/>
    <col min="4088" max="4088" width="7.7109375" style="74" customWidth="1"/>
    <col min="4089" max="4089" width="5.85546875" style="74" bestFit="1" customWidth="1"/>
    <col min="4090" max="4090" width="32" style="74" customWidth="1"/>
    <col min="4091" max="4333" width="9.140625" style="74"/>
    <col min="4334" max="4334" width="4.5703125" style="74" customWidth="1"/>
    <col min="4335" max="4335" width="13.7109375" style="74" customWidth="1"/>
    <col min="4336" max="4336" width="19" style="74" customWidth="1"/>
    <col min="4337" max="4337" width="6.42578125" style="74" customWidth="1"/>
    <col min="4338" max="4338" width="4.140625" style="74" bestFit="1" customWidth="1"/>
    <col min="4339" max="4339" width="3.85546875" style="74" customWidth="1"/>
    <col min="4340" max="4340" width="7.42578125" style="74" customWidth="1"/>
    <col min="4341" max="4341" width="7.28515625" style="74" customWidth="1"/>
    <col min="4342" max="4342" width="5.85546875" style="74" bestFit="1" customWidth="1"/>
    <col min="4343" max="4343" width="9.7109375" style="74" customWidth="1"/>
    <col min="4344" max="4344" width="7.7109375" style="74" customWidth="1"/>
    <col min="4345" max="4345" width="5.85546875" style="74" bestFit="1" customWidth="1"/>
    <col min="4346" max="4346" width="32" style="74" customWidth="1"/>
    <col min="4347" max="4589" width="9.140625" style="74"/>
    <col min="4590" max="4590" width="4.5703125" style="74" customWidth="1"/>
    <col min="4591" max="4591" width="13.7109375" style="74" customWidth="1"/>
    <col min="4592" max="4592" width="19" style="74" customWidth="1"/>
    <col min="4593" max="4593" width="6.42578125" style="74" customWidth="1"/>
    <col min="4594" max="4594" width="4.140625" style="74" bestFit="1" customWidth="1"/>
    <col min="4595" max="4595" width="3.85546875" style="74" customWidth="1"/>
    <col min="4596" max="4596" width="7.42578125" style="74" customWidth="1"/>
    <col min="4597" max="4597" width="7.28515625" style="74" customWidth="1"/>
    <col min="4598" max="4598" width="5.85546875" style="74" bestFit="1" customWidth="1"/>
    <col min="4599" max="4599" width="9.7109375" style="74" customWidth="1"/>
    <col min="4600" max="4600" width="7.7109375" style="74" customWidth="1"/>
    <col min="4601" max="4601" width="5.85546875" style="74" bestFit="1" customWidth="1"/>
    <col min="4602" max="4602" width="32" style="74" customWidth="1"/>
    <col min="4603" max="4845" width="9.140625" style="74"/>
    <col min="4846" max="4846" width="4.5703125" style="74" customWidth="1"/>
    <col min="4847" max="4847" width="13.7109375" style="74" customWidth="1"/>
    <col min="4848" max="4848" width="19" style="74" customWidth="1"/>
    <col min="4849" max="4849" width="6.42578125" style="74" customWidth="1"/>
    <col min="4850" max="4850" width="4.140625" style="74" bestFit="1" customWidth="1"/>
    <col min="4851" max="4851" width="3.85546875" style="74" customWidth="1"/>
    <col min="4852" max="4852" width="7.42578125" style="74" customWidth="1"/>
    <col min="4853" max="4853" width="7.28515625" style="74" customWidth="1"/>
    <col min="4854" max="4854" width="5.85546875" style="74" bestFit="1" customWidth="1"/>
    <col min="4855" max="4855" width="9.7109375" style="74" customWidth="1"/>
    <col min="4856" max="4856" width="7.7109375" style="74" customWidth="1"/>
    <col min="4857" max="4857" width="5.85546875" style="74" bestFit="1" customWidth="1"/>
    <col min="4858" max="4858" width="32" style="74" customWidth="1"/>
    <col min="4859" max="5101" width="9.140625" style="74"/>
    <col min="5102" max="5102" width="4.5703125" style="74" customWidth="1"/>
    <col min="5103" max="5103" width="13.7109375" style="74" customWidth="1"/>
    <col min="5104" max="5104" width="19" style="74" customWidth="1"/>
    <col min="5105" max="5105" width="6.42578125" style="74" customWidth="1"/>
    <col min="5106" max="5106" width="4.140625" style="74" bestFit="1" customWidth="1"/>
    <col min="5107" max="5107" width="3.85546875" style="74" customWidth="1"/>
    <col min="5108" max="5108" width="7.42578125" style="74" customWidth="1"/>
    <col min="5109" max="5109" width="7.28515625" style="74" customWidth="1"/>
    <col min="5110" max="5110" width="5.85546875" style="74" bestFit="1" customWidth="1"/>
    <col min="5111" max="5111" width="9.7109375" style="74" customWidth="1"/>
    <col min="5112" max="5112" width="7.7109375" style="74" customWidth="1"/>
    <col min="5113" max="5113" width="5.85546875" style="74" bestFit="1" customWidth="1"/>
    <col min="5114" max="5114" width="32" style="74" customWidth="1"/>
    <col min="5115" max="5357" width="9.140625" style="74"/>
    <col min="5358" max="5358" width="4.5703125" style="74" customWidth="1"/>
    <col min="5359" max="5359" width="13.7109375" style="74" customWidth="1"/>
    <col min="5360" max="5360" width="19" style="74" customWidth="1"/>
    <col min="5361" max="5361" width="6.42578125" style="74" customWidth="1"/>
    <col min="5362" max="5362" width="4.140625" style="74" bestFit="1" customWidth="1"/>
    <col min="5363" max="5363" width="3.85546875" style="74" customWidth="1"/>
    <col min="5364" max="5364" width="7.42578125" style="74" customWidth="1"/>
    <col min="5365" max="5365" width="7.28515625" style="74" customWidth="1"/>
    <col min="5366" max="5366" width="5.85546875" style="74" bestFit="1" customWidth="1"/>
    <col min="5367" max="5367" width="9.7109375" style="74" customWidth="1"/>
    <col min="5368" max="5368" width="7.7109375" style="74" customWidth="1"/>
    <col min="5369" max="5369" width="5.85546875" style="74" bestFit="1" customWidth="1"/>
    <col min="5370" max="5370" width="32" style="74" customWidth="1"/>
    <col min="5371" max="5613" width="9.140625" style="74"/>
    <col min="5614" max="5614" width="4.5703125" style="74" customWidth="1"/>
    <col min="5615" max="5615" width="13.7109375" style="74" customWidth="1"/>
    <col min="5616" max="5616" width="19" style="74" customWidth="1"/>
    <col min="5617" max="5617" width="6.42578125" style="74" customWidth="1"/>
    <col min="5618" max="5618" width="4.140625" style="74" bestFit="1" customWidth="1"/>
    <col min="5619" max="5619" width="3.85546875" style="74" customWidth="1"/>
    <col min="5620" max="5620" width="7.42578125" style="74" customWidth="1"/>
    <col min="5621" max="5621" width="7.28515625" style="74" customWidth="1"/>
    <col min="5622" max="5622" width="5.85546875" style="74" bestFit="1" customWidth="1"/>
    <col min="5623" max="5623" width="9.7109375" style="74" customWidth="1"/>
    <col min="5624" max="5624" width="7.7109375" style="74" customWidth="1"/>
    <col min="5625" max="5625" width="5.85546875" style="74" bestFit="1" customWidth="1"/>
    <col min="5626" max="5626" width="32" style="74" customWidth="1"/>
    <col min="5627" max="5869" width="9.140625" style="74"/>
    <col min="5870" max="5870" width="4.5703125" style="74" customWidth="1"/>
    <col min="5871" max="5871" width="13.7109375" style="74" customWidth="1"/>
    <col min="5872" max="5872" width="19" style="74" customWidth="1"/>
    <col min="5873" max="5873" width="6.42578125" style="74" customWidth="1"/>
    <col min="5874" max="5874" width="4.140625" style="74" bestFit="1" customWidth="1"/>
    <col min="5875" max="5875" width="3.85546875" style="74" customWidth="1"/>
    <col min="5876" max="5876" width="7.42578125" style="74" customWidth="1"/>
    <col min="5877" max="5877" width="7.28515625" style="74" customWidth="1"/>
    <col min="5878" max="5878" width="5.85546875" style="74" bestFit="1" customWidth="1"/>
    <col min="5879" max="5879" width="9.7109375" style="74" customWidth="1"/>
    <col min="5880" max="5880" width="7.7109375" style="74" customWidth="1"/>
    <col min="5881" max="5881" width="5.85546875" style="74" bestFit="1" customWidth="1"/>
    <col min="5882" max="5882" width="32" style="74" customWidth="1"/>
    <col min="5883" max="6125" width="9.140625" style="74"/>
    <col min="6126" max="6126" width="4.5703125" style="74" customWidth="1"/>
    <col min="6127" max="6127" width="13.7109375" style="74" customWidth="1"/>
    <col min="6128" max="6128" width="19" style="74" customWidth="1"/>
    <col min="6129" max="6129" width="6.42578125" style="74" customWidth="1"/>
    <col min="6130" max="6130" width="4.140625" style="74" bestFit="1" customWidth="1"/>
    <col min="6131" max="6131" width="3.85546875" style="74" customWidth="1"/>
    <col min="6132" max="6132" width="7.42578125" style="74" customWidth="1"/>
    <col min="6133" max="6133" width="7.28515625" style="74" customWidth="1"/>
    <col min="6134" max="6134" width="5.85546875" style="74" bestFit="1" customWidth="1"/>
    <col min="6135" max="6135" width="9.7109375" style="74" customWidth="1"/>
    <col min="6136" max="6136" width="7.7109375" style="74" customWidth="1"/>
    <col min="6137" max="6137" width="5.85546875" style="74" bestFit="1" customWidth="1"/>
    <col min="6138" max="6138" width="32" style="74" customWidth="1"/>
    <col min="6139" max="6381" width="9.140625" style="74"/>
    <col min="6382" max="6382" width="4.5703125" style="74" customWidth="1"/>
    <col min="6383" max="6383" width="13.7109375" style="74" customWidth="1"/>
    <col min="6384" max="6384" width="19" style="74" customWidth="1"/>
    <col min="6385" max="6385" width="6.42578125" style="74" customWidth="1"/>
    <col min="6386" max="6386" width="4.140625" style="74" bestFit="1" customWidth="1"/>
    <col min="6387" max="6387" width="3.85546875" style="74" customWidth="1"/>
    <col min="6388" max="6388" width="7.42578125" style="74" customWidth="1"/>
    <col min="6389" max="6389" width="7.28515625" style="74" customWidth="1"/>
    <col min="6390" max="6390" width="5.85546875" style="74" bestFit="1" customWidth="1"/>
    <col min="6391" max="6391" width="9.7109375" style="74" customWidth="1"/>
    <col min="6392" max="6392" width="7.7109375" style="74" customWidth="1"/>
    <col min="6393" max="6393" width="5.85546875" style="74" bestFit="1" customWidth="1"/>
    <col min="6394" max="6394" width="32" style="74" customWidth="1"/>
    <col min="6395" max="6637" width="9.140625" style="74"/>
    <col min="6638" max="6638" width="4.5703125" style="74" customWidth="1"/>
    <col min="6639" max="6639" width="13.7109375" style="74" customWidth="1"/>
    <col min="6640" max="6640" width="19" style="74" customWidth="1"/>
    <col min="6641" max="6641" width="6.42578125" style="74" customWidth="1"/>
    <col min="6642" max="6642" width="4.140625" style="74" bestFit="1" customWidth="1"/>
    <col min="6643" max="6643" width="3.85546875" style="74" customWidth="1"/>
    <col min="6644" max="6644" width="7.42578125" style="74" customWidth="1"/>
    <col min="6645" max="6645" width="7.28515625" style="74" customWidth="1"/>
    <col min="6646" max="6646" width="5.85546875" style="74" bestFit="1" customWidth="1"/>
    <col min="6647" max="6647" width="9.7109375" style="74" customWidth="1"/>
    <col min="6648" max="6648" width="7.7109375" style="74" customWidth="1"/>
    <col min="6649" max="6649" width="5.85546875" style="74" bestFit="1" customWidth="1"/>
    <col min="6650" max="6650" width="32" style="74" customWidth="1"/>
    <col min="6651" max="6893" width="9.140625" style="74"/>
    <col min="6894" max="6894" width="4.5703125" style="74" customWidth="1"/>
    <col min="6895" max="6895" width="13.7109375" style="74" customWidth="1"/>
    <col min="6896" max="6896" width="19" style="74" customWidth="1"/>
    <col min="6897" max="6897" width="6.42578125" style="74" customWidth="1"/>
    <col min="6898" max="6898" width="4.140625" style="74" bestFit="1" customWidth="1"/>
    <col min="6899" max="6899" width="3.85546875" style="74" customWidth="1"/>
    <col min="6900" max="6900" width="7.42578125" style="74" customWidth="1"/>
    <col min="6901" max="6901" width="7.28515625" style="74" customWidth="1"/>
    <col min="6902" max="6902" width="5.85546875" style="74" bestFit="1" customWidth="1"/>
    <col min="6903" max="6903" width="9.7109375" style="74" customWidth="1"/>
    <col min="6904" max="6904" width="7.7109375" style="74" customWidth="1"/>
    <col min="6905" max="6905" width="5.85546875" style="74" bestFit="1" customWidth="1"/>
    <col min="6906" max="6906" width="32" style="74" customWidth="1"/>
    <col min="6907" max="7149" width="9.140625" style="74"/>
    <col min="7150" max="7150" width="4.5703125" style="74" customWidth="1"/>
    <col min="7151" max="7151" width="13.7109375" style="74" customWidth="1"/>
    <col min="7152" max="7152" width="19" style="74" customWidth="1"/>
    <col min="7153" max="7153" width="6.42578125" style="74" customWidth="1"/>
    <col min="7154" max="7154" width="4.140625" style="74" bestFit="1" customWidth="1"/>
    <col min="7155" max="7155" width="3.85546875" style="74" customWidth="1"/>
    <col min="7156" max="7156" width="7.42578125" style="74" customWidth="1"/>
    <col min="7157" max="7157" width="7.28515625" style="74" customWidth="1"/>
    <col min="7158" max="7158" width="5.85546875" style="74" bestFit="1" customWidth="1"/>
    <col min="7159" max="7159" width="9.7109375" style="74" customWidth="1"/>
    <col min="7160" max="7160" width="7.7109375" style="74" customWidth="1"/>
    <col min="7161" max="7161" width="5.85546875" style="74" bestFit="1" customWidth="1"/>
    <col min="7162" max="7162" width="32" style="74" customWidth="1"/>
    <col min="7163" max="7405" width="9.140625" style="74"/>
    <col min="7406" max="7406" width="4.5703125" style="74" customWidth="1"/>
    <col min="7407" max="7407" width="13.7109375" style="74" customWidth="1"/>
    <col min="7408" max="7408" width="19" style="74" customWidth="1"/>
    <col min="7409" max="7409" width="6.42578125" style="74" customWidth="1"/>
    <col min="7410" max="7410" width="4.140625" style="74" bestFit="1" customWidth="1"/>
    <col min="7411" max="7411" width="3.85546875" style="74" customWidth="1"/>
    <col min="7412" max="7412" width="7.42578125" style="74" customWidth="1"/>
    <col min="7413" max="7413" width="7.28515625" style="74" customWidth="1"/>
    <col min="7414" max="7414" width="5.85546875" style="74" bestFit="1" customWidth="1"/>
    <col min="7415" max="7415" width="9.7109375" style="74" customWidth="1"/>
    <col min="7416" max="7416" width="7.7109375" style="74" customWidth="1"/>
    <col min="7417" max="7417" width="5.85546875" style="74" bestFit="1" customWidth="1"/>
    <col min="7418" max="7418" width="32" style="74" customWidth="1"/>
    <col min="7419" max="7661" width="9.140625" style="74"/>
    <col min="7662" max="7662" width="4.5703125" style="74" customWidth="1"/>
    <col min="7663" max="7663" width="13.7109375" style="74" customWidth="1"/>
    <col min="7664" max="7664" width="19" style="74" customWidth="1"/>
    <col min="7665" max="7665" width="6.42578125" style="74" customWidth="1"/>
    <col min="7666" max="7666" width="4.140625" style="74" bestFit="1" customWidth="1"/>
    <col min="7667" max="7667" width="3.85546875" style="74" customWidth="1"/>
    <col min="7668" max="7668" width="7.42578125" style="74" customWidth="1"/>
    <col min="7669" max="7669" width="7.28515625" style="74" customWidth="1"/>
    <col min="7670" max="7670" width="5.85546875" style="74" bestFit="1" customWidth="1"/>
    <col min="7671" max="7671" width="9.7109375" style="74" customWidth="1"/>
    <col min="7672" max="7672" width="7.7109375" style="74" customWidth="1"/>
    <col min="7673" max="7673" width="5.85546875" style="74" bestFit="1" customWidth="1"/>
    <col min="7674" max="7674" width="32" style="74" customWidth="1"/>
    <col min="7675" max="7917" width="9.140625" style="74"/>
    <col min="7918" max="7918" width="4.5703125" style="74" customWidth="1"/>
    <col min="7919" max="7919" width="13.7109375" style="74" customWidth="1"/>
    <col min="7920" max="7920" width="19" style="74" customWidth="1"/>
    <col min="7921" max="7921" width="6.42578125" style="74" customWidth="1"/>
    <col min="7922" max="7922" width="4.140625" style="74" bestFit="1" customWidth="1"/>
    <col min="7923" max="7923" width="3.85546875" style="74" customWidth="1"/>
    <col min="7924" max="7924" width="7.42578125" style="74" customWidth="1"/>
    <col min="7925" max="7925" width="7.28515625" style="74" customWidth="1"/>
    <col min="7926" max="7926" width="5.85546875" style="74" bestFit="1" customWidth="1"/>
    <col min="7927" max="7927" width="9.7109375" style="74" customWidth="1"/>
    <col min="7928" max="7928" width="7.7109375" style="74" customWidth="1"/>
    <col min="7929" max="7929" width="5.85546875" style="74" bestFit="1" customWidth="1"/>
    <col min="7930" max="7930" width="32" style="74" customWidth="1"/>
    <col min="7931" max="8173" width="9.140625" style="74"/>
    <col min="8174" max="8174" width="4.5703125" style="74" customWidth="1"/>
    <col min="8175" max="8175" width="13.7109375" style="74" customWidth="1"/>
    <col min="8176" max="8176" width="19" style="74" customWidth="1"/>
    <col min="8177" max="8177" width="6.42578125" style="74" customWidth="1"/>
    <col min="8178" max="8178" width="4.140625" style="74" bestFit="1" customWidth="1"/>
    <col min="8179" max="8179" width="3.85546875" style="74" customWidth="1"/>
    <col min="8180" max="8180" width="7.42578125" style="74" customWidth="1"/>
    <col min="8181" max="8181" width="7.28515625" style="74" customWidth="1"/>
    <col min="8182" max="8182" width="5.85546875" style="74" bestFit="1" customWidth="1"/>
    <col min="8183" max="8183" width="9.7109375" style="74" customWidth="1"/>
    <col min="8184" max="8184" width="7.7109375" style="74" customWidth="1"/>
    <col min="8185" max="8185" width="5.85546875" style="74" bestFit="1" customWidth="1"/>
    <col min="8186" max="8186" width="32" style="74" customWidth="1"/>
    <col min="8187" max="8429" width="9.140625" style="74"/>
    <col min="8430" max="8430" width="4.5703125" style="74" customWidth="1"/>
    <col min="8431" max="8431" width="13.7109375" style="74" customWidth="1"/>
    <col min="8432" max="8432" width="19" style="74" customWidth="1"/>
    <col min="8433" max="8433" width="6.42578125" style="74" customWidth="1"/>
    <col min="8434" max="8434" width="4.140625" style="74" bestFit="1" customWidth="1"/>
    <col min="8435" max="8435" width="3.85546875" style="74" customWidth="1"/>
    <col min="8436" max="8436" width="7.42578125" style="74" customWidth="1"/>
    <col min="8437" max="8437" width="7.28515625" style="74" customWidth="1"/>
    <col min="8438" max="8438" width="5.85546875" style="74" bestFit="1" customWidth="1"/>
    <col min="8439" max="8439" width="9.7109375" style="74" customWidth="1"/>
    <col min="8440" max="8440" width="7.7109375" style="74" customWidth="1"/>
    <col min="8441" max="8441" width="5.85546875" style="74" bestFit="1" customWidth="1"/>
    <col min="8442" max="8442" width="32" style="74" customWidth="1"/>
    <col min="8443" max="8685" width="9.140625" style="74"/>
    <col min="8686" max="8686" width="4.5703125" style="74" customWidth="1"/>
    <col min="8687" max="8687" width="13.7109375" style="74" customWidth="1"/>
    <col min="8688" max="8688" width="19" style="74" customWidth="1"/>
    <col min="8689" max="8689" width="6.42578125" style="74" customWidth="1"/>
    <col min="8690" max="8690" width="4.140625" style="74" bestFit="1" customWidth="1"/>
    <col min="8691" max="8691" width="3.85546875" style="74" customWidth="1"/>
    <col min="8692" max="8692" width="7.42578125" style="74" customWidth="1"/>
    <col min="8693" max="8693" width="7.28515625" style="74" customWidth="1"/>
    <col min="8694" max="8694" width="5.85546875" style="74" bestFit="1" customWidth="1"/>
    <col min="8695" max="8695" width="9.7109375" style="74" customWidth="1"/>
    <col min="8696" max="8696" width="7.7109375" style="74" customWidth="1"/>
    <col min="8697" max="8697" width="5.85546875" style="74" bestFit="1" customWidth="1"/>
    <col min="8698" max="8698" width="32" style="74" customWidth="1"/>
    <col min="8699" max="8941" width="9.140625" style="74"/>
    <col min="8942" max="8942" width="4.5703125" style="74" customWidth="1"/>
    <col min="8943" max="8943" width="13.7109375" style="74" customWidth="1"/>
    <col min="8944" max="8944" width="19" style="74" customWidth="1"/>
    <col min="8945" max="8945" width="6.42578125" style="74" customWidth="1"/>
    <col min="8946" max="8946" width="4.140625" style="74" bestFit="1" customWidth="1"/>
    <col min="8947" max="8947" width="3.85546875" style="74" customWidth="1"/>
    <col min="8948" max="8948" width="7.42578125" style="74" customWidth="1"/>
    <col min="8949" max="8949" width="7.28515625" style="74" customWidth="1"/>
    <col min="8950" max="8950" width="5.85546875" style="74" bestFit="1" customWidth="1"/>
    <col min="8951" max="8951" width="9.7109375" style="74" customWidth="1"/>
    <col min="8952" max="8952" width="7.7109375" style="74" customWidth="1"/>
    <col min="8953" max="8953" width="5.85546875" style="74" bestFit="1" customWidth="1"/>
    <col min="8954" max="8954" width="32" style="74" customWidth="1"/>
    <col min="8955" max="9197" width="9.140625" style="74"/>
    <col min="9198" max="9198" width="4.5703125" style="74" customWidth="1"/>
    <col min="9199" max="9199" width="13.7109375" style="74" customWidth="1"/>
    <col min="9200" max="9200" width="19" style="74" customWidth="1"/>
    <col min="9201" max="9201" width="6.42578125" style="74" customWidth="1"/>
    <col min="9202" max="9202" width="4.140625" style="74" bestFit="1" customWidth="1"/>
    <col min="9203" max="9203" width="3.85546875" style="74" customWidth="1"/>
    <col min="9204" max="9204" width="7.42578125" style="74" customWidth="1"/>
    <col min="9205" max="9205" width="7.28515625" style="74" customWidth="1"/>
    <col min="9206" max="9206" width="5.85546875" style="74" bestFit="1" customWidth="1"/>
    <col min="9207" max="9207" width="9.7109375" style="74" customWidth="1"/>
    <col min="9208" max="9208" width="7.7109375" style="74" customWidth="1"/>
    <col min="9209" max="9209" width="5.85546875" style="74" bestFit="1" customWidth="1"/>
    <col min="9210" max="9210" width="32" style="74" customWidth="1"/>
    <col min="9211" max="9453" width="9.140625" style="74"/>
    <col min="9454" max="9454" width="4.5703125" style="74" customWidth="1"/>
    <col min="9455" max="9455" width="13.7109375" style="74" customWidth="1"/>
    <col min="9456" max="9456" width="19" style="74" customWidth="1"/>
    <col min="9457" max="9457" width="6.42578125" style="74" customWidth="1"/>
    <col min="9458" max="9458" width="4.140625" style="74" bestFit="1" customWidth="1"/>
    <col min="9459" max="9459" width="3.85546875" style="74" customWidth="1"/>
    <col min="9460" max="9460" width="7.42578125" style="74" customWidth="1"/>
    <col min="9461" max="9461" width="7.28515625" style="74" customWidth="1"/>
    <col min="9462" max="9462" width="5.85546875" style="74" bestFit="1" customWidth="1"/>
    <col min="9463" max="9463" width="9.7109375" style="74" customWidth="1"/>
    <col min="9464" max="9464" width="7.7109375" style="74" customWidth="1"/>
    <col min="9465" max="9465" width="5.85546875" style="74" bestFit="1" customWidth="1"/>
    <col min="9466" max="9466" width="32" style="74" customWidth="1"/>
    <col min="9467" max="9709" width="9.140625" style="74"/>
    <col min="9710" max="9710" width="4.5703125" style="74" customWidth="1"/>
    <col min="9711" max="9711" width="13.7109375" style="74" customWidth="1"/>
    <col min="9712" max="9712" width="19" style="74" customWidth="1"/>
    <col min="9713" max="9713" width="6.42578125" style="74" customWidth="1"/>
    <col min="9714" max="9714" width="4.140625" style="74" bestFit="1" customWidth="1"/>
    <col min="9715" max="9715" width="3.85546875" style="74" customWidth="1"/>
    <col min="9716" max="9716" width="7.42578125" style="74" customWidth="1"/>
    <col min="9717" max="9717" width="7.28515625" style="74" customWidth="1"/>
    <col min="9718" max="9718" width="5.85546875" style="74" bestFit="1" customWidth="1"/>
    <col min="9719" max="9719" width="9.7109375" style="74" customWidth="1"/>
    <col min="9720" max="9720" width="7.7109375" style="74" customWidth="1"/>
    <col min="9721" max="9721" width="5.85546875" style="74" bestFit="1" customWidth="1"/>
    <col min="9722" max="9722" width="32" style="74" customWidth="1"/>
    <col min="9723" max="9965" width="9.140625" style="74"/>
    <col min="9966" max="9966" width="4.5703125" style="74" customWidth="1"/>
    <col min="9967" max="9967" width="13.7109375" style="74" customWidth="1"/>
    <col min="9968" max="9968" width="19" style="74" customWidth="1"/>
    <col min="9969" max="9969" width="6.42578125" style="74" customWidth="1"/>
    <col min="9970" max="9970" width="4.140625" style="74" bestFit="1" customWidth="1"/>
    <col min="9971" max="9971" width="3.85546875" style="74" customWidth="1"/>
    <col min="9972" max="9972" width="7.42578125" style="74" customWidth="1"/>
    <col min="9973" max="9973" width="7.28515625" style="74" customWidth="1"/>
    <col min="9974" max="9974" width="5.85546875" style="74" bestFit="1" customWidth="1"/>
    <col min="9975" max="9975" width="9.7109375" style="74" customWidth="1"/>
    <col min="9976" max="9976" width="7.7109375" style="74" customWidth="1"/>
    <col min="9977" max="9977" width="5.85546875" style="74" bestFit="1" customWidth="1"/>
    <col min="9978" max="9978" width="32" style="74" customWidth="1"/>
    <col min="9979" max="10221" width="9.140625" style="74"/>
    <col min="10222" max="10222" width="4.5703125" style="74" customWidth="1"/>
    <col min="10223" max="10223" width="13.7109375" style="74" customWidth="1"/>
    <col min="10224" max="10224" width="19" style="74" customWidth="1"/>
    <col min="10225" max="10225" width="6.42578125" style="74" customWidth="1"/>
    <col min="10226" max="10226" width="4.140625" style="74" bestFit="1" customWidth="1"/>
    <col min="10227" max="10227" width="3.85546875" style="74" customWidth="1"/>
    <col min="10228" max="10228" width="7.42578125" style="74" customWidth="1"/>
    <col min="10229" max="10229" width="7.28515625" style="74" customWidth="1"/>
    <col min="10230" max="10230" width="5.85546875" style="74" bestFit="1" customWidth="1"/>
    <col min="10231" max="10231" width="9.7109375" style="74" customWidth="1"/>
    <col min="10232" max="10232" width="7.7109375" style="74" customWidth="1"/>
    <col min="10233" max="10233" width="5.85546875" style="74" bestFit="1" customWidth="1"/>
    <col min="10234" max="10234" width="32" style="74" customWidth="1"/>
    <col min="10235" max="10477" width="9.140625" style="74"/>
    <col min="10478" max="10478" width="4.5703125" style="74" customWidth="1"/>
    <col min="10479" max="10479" width="13.7109375" style="74" customWidth="1"/>
    <col min="10480" max="10480" width="19" style="74" customWidth="1"/>
    <col min="10481" max="10481" width="6.42578125" style="74" customWidth="1"/>
    <col min="10482" max="10482" width="4.140625" style="74" bestFit="1" customWidth="1"/>
    <col min="10483" max="10483" width="3.85546875" style="74" customWidth="1"/>
    <col min="10484" max="10484" width="7.42578125" style="74" customWidth="1"/>
    <col min="10485" max="10485" width="7.28515625" style="74" customWidth="1"/>
    <col min="10486" max="10486" width="5.85546875" style="74" bestFit="1" customWidth="1"/>
    <col min="10487" max="10487" width="9.7109375" style="74" customWidth="1"/>
    <col min="10488" max="10488" width="7.7109375" style="74" customWidth="1"/>
    <col min="10489" max="10489" width="5.85546875" style="74" bestFit="1" customWidth="1"/>
    <col min="10490" max="10490" width="32" style="74" customWidth="1"/>
    <col min="10491" max="10733" width="9.140625" style="74"/>
    <col min="10734" max="10734" width="4.5703125" style="74" customWidth="1"/>
    <col min="10735" max="10735" width="13.7109375" style="74" customWidth="1"/>
    <col min="10736" max="10736" width="19" style="74" customWidth="1"/>
    <col min="10737" max="10737" width="6.42578125" style="74" customWidth="1"/>
    <col min="10738" max="10738" width="4.140625" style="74" bestFit="1" customWidth="1"/>
    <col min="10739" max="10739" width="3.85546875" style="74" customWidth="1"/>
    <col min="10740" max="10740" width="7.42578125" style="74" customWidth="1"/>
    <col min="10741" max="10741" width="7.28515625" style="74" customWidth="1"/>
    <col min="10742" max="10742" width="5.85546875" style="74" bestFit="1" customWidth="1"/>
    <col min="10743" max="10743" width="9.7109375" style="74" customWidth="1"/>
    <col min="10744" max="10744" width="7.7109375" style="74" customWidth="1"/>
    <col min="10745" max="10745" width="5.85546875" style="74" bestFit="1" customWidth="1"/>
    <col min="10746" max="10746" width="32" style="74" customWidth="1"/>
    <col min="10747" max="10989" width="9.140625" style="74"/>
    <col min="10990" max="10990" width="4.5703125" style="74" customWidth="1"/>
    <col min="10991" max="10991" width="13.7109375" style="74" customWidth="1"/>
    <col min="10992" max="10992" width="19" style="74" customWidth="1"/>
    <col min="10993" max="10993" width="6.42578125" style="74" customWidth="1"/>
    <col min="10994" max="10994" width="4.140625" style="74" bestFit="1" customWidth="1"/>
    <col min="10995" max="10995" width="3.85546875" style="74" customWidth="1"/>
    <col min="10996" max="10996" width="7.42578125" style="74" customWidth="1"/>
    <col min="10997" max="10997" width="7.28515625" style="74" customWidth="1"/>
    <col min="10998" max="10998" width="5.85546875" style="74" bestFit="1" customWidth="1"/>
    <col min="10999" max="10999" width="9.7109375" style="74" customWidth="1"/>
    <col min="11000" max="11000" width="7.7109375" style="74" customWidth="1"/>
    <col min="11001" max="11001" width="5.85546875" style="74" bestFit="1" customWidth="1"/>
    <col min="11002" max="11002" width="32" style="74" customWidth="1"/>
    <col min="11003" max="11245" width="9.140625" style="74"/>
    <col min="11246" max="11246" width="4.5703125" style="74" customWidth="1"/>
    <col min="11247" max="11247" width="13.7109375" style="74" customWidth="1"/>
    <col min="11248" max="11248" width="19" style="74" customWidth="1"/>
    <col min="11249" max="11249" width="6.42578125" style="74" customWidth="1"/>
    <col min="11250" max="11250" width="4.140625" style="74" bestFit="1" customWidth="1"/>
    <col min="11251" max="11251" width="3.85546875" style="74" customWidth="1"/>
    <col min="11252" max="11252" width="7.42578125" style="74" customWidth="1"/>
    <col min="11253" max="11253" width="7.28515625" style="74" customWidth="1"/>
    <col min="11254" max="11254" width="5.85546875" style="74" bestFit="1" customWidth="1"/>
    <col min="11255" max="11255" width="9.7109375" style="74" customWidth="1"/>
    <col min="11256" max="11256" width="7.7109375" style="74" customWidth="1"/>
    <col min="11257" max="11257" width="5.85546875" style="74" bestFit="1" customWidth="1"/>
    <col min="11258" max="11258" width="32" style="74" customWidth="1"/>
    <col min="11259" max="11501" width="9.140625" style="74"/>
    <col min="11502" max="11502" width="4.5703125" style="74" customWidth="1"/>
    <col min="11503" max="11503" width="13.7109375" style="74" customWidth="1"/>
    <col min="11504" max="11504" width="19" style="74" customWidth="1"/>
    <col min="11505" max="11505" width="6.42578125" style="74" customWidth="1"/>
    <col min="11506" max="11506" width="4.140625" style="74" bestFit="1" customWidth="1"/>
    <col min="11507" max="11507" width="3.85546875" style="74" customWidth="1"/>
    <col min="11508" max="11508" width="7.42578125" style="74" customWidth="1"/>
    <col min="11509" max="11509" width="7.28515625" style="74" customWidth="1"/>
    <col min="11510" max="11510" width="5.85546875" style="74" bestFit="1" customWidth="1"/>
    <col min="11511" max="11511" width="9.7109375" style="74" customWidth="1"/>
    <col min="11512" max="11512" width="7.7109375" style="74" customWidth="1"/>
    <col min="11513" max="11513" width="5.85546875" style="74" bestFit="1" customWidth="1"/>
    <col min="11514" max="11514" width="32" style="74" customWidth="1"/>
    <col min="11515" max="11757" width="9.140625" style="74"/>
    <col min="11758" max="11758" width="4.5703125" style="74" customWidth="1"/>
    <col min="11759" max="11759" width="13.7109375" style="74" customWidth="1"/>
    <col min="11760" max="11760" width="19" style="74" customWidth="1"/>
    <col min="11761" max="11761" width="6.42578125" style="74" customWidth="1"/>
    <col min="11762" max="11762" width="4.140625" style="74" bestFit="1" customWidth="1"/>
    <col min="11763" max="11763" width="3.85546875" style="74" customWidth="1"/>
    <col min="11764" max="11764" width="7.42578125" style="74" customWidth="1"/>
    <col min="11765" max="11765" width="7.28515625" style="74" customWidth="1"/>
    <col min="11766" max="11766" width="5.85546875" style="74" bestFit="1" customWidth="1"/>
    <col min="11767" max="11767" width="9.7109375" style="74" customWidth="1"/>
    <col min="11768" max="11768" width="7.7109375" style="74" customWidth="1"/>
    <col min="11769" max="11769" width="5.85546875" style="74" bestFit="1" customWidth="1"/>
    <col min="11770" max="11770" width="32" style="74" customWidth="1"/>
    <col min="11771" max="12013" width="9.140625" style="74"/>
    <col min="12014" max="12014" width="4.5703125" style="74" customWidth="1"/>
    <col min="12015" max="12015" width="13.7109375" style="74" customWidth="1"/>
    <col min="12016" max="12016" width="19" style="74" customWidth="1"/>
    <col min="12017" max="12017" width="6.42578125" style="74" customWidth="1"/>
    <col min="12018" max="12018" width="4.140625" style="74" bestFit="1" customWidth="1"/>
    <col min="12019" max="12019" width="3.85546875" style="74" customWidth="1"/>
    <col min="12020" max="12020" width="7.42578125" style="74" customWidth="1"/>
    <col min="12021" max="12021" width="7.28515625" style="74" customWidth="1"/>
    <col min="12022" max="12022" width="5.85546875" style="74" bestFit="1" customWidth="1"/>
    <col min="12023" max="12023" width="9.7109375" style="74" customWidth="1"/>
    <col min="12024" max="12024" width="7.7109375" style="74" customWidth="1"/>
    <col min="12025" max="12025" width="5.85546875" style="74" bestFit="1" customWidth="1"/>
    <col min="12026" max="12026" width="32" style="74" customWidth="1"/>
    <col min="12027" max="12269" width="9.140625" style="74"/>
    <col min="12270" max="12270" width="4.5703125" style="74" customWidth="1"/>
    <col min="12271" max="12271" width="13.7109375" style="74" customWidth="1"/>
    <col min="12272" max="12272" width="19" style="74" customWidth="1"/>
    <col min="12273" max="12273" width="6.42578125" style="74" customWidth="1"/>
    <col min="12274" max="12274" width="4.140625" style="74" bestFit="1" customWidth="1"/>
    <col min="12275" max="12275" width="3.85546875" style="74" customWidth="1"/>
    <col min="12276" max="12276" width="7.42578125" style="74" customWidth="1"/>
    <col min="12277" max="12277" width="7.28515625" style="74" customWidth="1"/>
    <col min="12278" max="12278" width="5.85546875" style="74" bestFit="1" customWidth="1"/>
    <col min="12279" max="12279" width="9.7109375" style="74" customWidth="1"/>
    <col min="12280" max="12280" width="7.7109375" style="74" customWidth="1"/>
    <col min="12281" max="12281" width="5.85546875" style="74" bestFit="1" customWidth="1"/>
    <col min="12282" max="12282" width="32" style="74" customWidth="1"/>
    <col min="12283" max="12525" width="9.140625" style="74"/>
    <col min="12526" max="12526" width="4.5703125" style="74" customWidth="1"/>
    <col min="12527" max="12527" width="13.7109375" style="74" customWidth="1"/>
    <col min="12528" max="12528" width="19" style="74" customWidth="1"/>
    <col min="12529" max="12529" width="6.42578125" style="74" customWidth="1"/>
    <col min="12530" max="12530" width="4.140625" style="74" bestFit="1" customWidth="1"/>
    <col min="12531" max="12531" width="3.85546875" style="74" customWidth="1"/>
    <col min="12532" max="12532" width="7.42578125" style="74" customWidth="1"/>
    <col min="12533" max="12533" width="7.28515625" style="74" customWidth="1"/>
    <col min="12534" max="12534" width="5.85546875" style="74" bestFit="1" customWidth="1"/>
    <col min="12535" max="12535" width="9.7109375" style="74" customWidth="1"/>
    <col min="12536" max="12536" width="7.7109375" style="74" customWidth="1"/>
    <col min="12537" max="12537" width="5.85546875" style="74" bestFit="1" customWidth="1"/>
    <col min="12538" max="12538" width="32" style="74" customWidth="1"/>
    <col min="12539" max="12781" width="9.140625" style="74"/>
    <col min="12782" max="12782" width="4.5703125" style="74" customWidth="1"/>
    <col min="12783" max="12783" width="13.7109375" style="74" customWidth="1"/>
    <col min="12784" max="12784" width="19" style="74" customWidth="1"/>
    <col min="12785" max="12785" width="6.42578125" style="74" customWidth="1"/>
    <col min="12786" max="12786" width="4.140625" style="74" bestFit="1" customWidth="1"/>
    <col min="12787" max="12787" width="3.85546875" style="74" customWidth="1"/>
    <col min="12788" max="12788" width="7.42578125" style="74" customWidth="1"/>
    <col min="12789" max="12789" width="7.28515625" style="74" customWidth="1"/>
    <col min="12790" max="12790" width="5.85546875" style="74" bestFit="1" customWidth="1"/>
    <col min="12791" max="12791" width="9.7109375" style="74" customWidth="1"/>
    <col min="12792" max="12792" width="7.7109375" style="74" customWidth="1"/>
    <col min="12793" max="12793" width="5.85546875" style="74" bestFit="1" customWidth="1"/>
    <col min="12794" max="12794" width="32" style="74" customWidth="1"/>
    <col min="12795" max="13037" width="9.140625" style="74"/>
    <col min="13038" max="13038" width="4.5703125" style="74" customWidth="1"/>
    <col min="13039" max="13039" width="13.7109375" style="74" customWidth="1"/>
    <col min="13040" max="13040" width="19" style="74" customWidth="1"/>
    <col min="13041" max="13041" width="6.42578125" style="74" customWidth="1"/>
    <col min="13042" max="13042" width="4.140625" style="74" bestFit="1" customWidth="1"/>
    <col min="13043" max="13043" width="3.85546875" style="74" customWidth="1"/>
    <col min="13044" max="13044" width="7.42578125" style="74" customWidth="1"/>
    <col min="13045" max="13045" width="7.28515625" style="74" customWidth="1"/>
    <col min="13046" max="13046" width="5.85546875" style="74" bestFit="1" customWidth="1"/>
    <col min="13047" max="13047" width="9.7109375" style="74" customWidth="1"/>
    <col min="13048" max="13048" width="7.7109375" style="74" customWidth="1"/>
    <col min="13049" max="13049" width="5.85546875" style="74" bestFit="1" customWidth="1"/>
    <col min="13050" max="13050" width="32" style="74" customWidth="1"/>
    <col min="13051" max="13293" width="9.140625" style="74"/>
    <col min="13294" max="13294" width="4.5703125" style="74" customWidth="1"/>
    <col min="13295" max="13295" width="13.7109375" style="74" customWidth="1"/>
    <col min="13296" max="13296" width="19" style="74" customWidth="1"/>
    <col min="13297" max="13297" width="6.42578125" style="74" customWidth="1"/>
    <col min="13298" max="13298" width="4.140625" style="74" bestFit="1" customWidth="1"/>
    <col min="13299" max="13299" width="3.85546875" style="74" customWidth="1"/>
    <col min="13300" max="13300" width="7.42578125" style="74" customWidth="1"/>
    <col min="13301" max="13301" width="7.28515625" style="74" customWidth="1"/>
    <col min="13302" max="13302" width="5.85546875" style="74" bestFit="1" customWidth="1"/>
    <col min="13303" max="13303" width="9.7109375" style="74" customWidth="1"/>
    <col min="13304" max="13304" width="7.7109375" style="74" customWidth="1"/>
    <col min="13305" max="13305" width="5.85546875" style="74" bestFit="1" customWidth="1"/>
    <col min="13306" max="13306" width="32" style="74" customWidth="1"/>
    <col min="13307" max="13549" width="9.140625" style="74"/>
    <col min="13550" max="13550" width="4.5703125" style="74" customWidth="1"/>
    <col min="13551" max="13551" width="13.7109375" style="74" customWidth="1"/>
    <col min="13552" max="13552" width="19" style="74" customWidth="1"/>
    <col min="13553" max="13553" width="6.42578125" style="74" customWidth="1"/>
    <col min="13554" max="13554" width="4.140625" style="74" bestFit="1" customWidth="1"/>
    <col min="13555" max="13555" width="3.85546875" style="74" customWidth="1"/>
    <col min="13556" max="13556" width="7.42578125" style="74" customWidth="1"/>
    <col min="13557" max="13557" width="7.28515625" style="74" customWidth="1"/>
    <col min="13558" max="13558" width="5.85546875" style="74" bestFit="1" customWidth="1"/>
    <col min="13559" max="13559" width="9.7109375" style="74" customWidth="1"/>
    <col min="13560" max="13560" width="7.7109375" style="74" customWidth="1"/>
    <col min="13561" max="13561" width="5.85546875" style="74" bestFit="1" customWidth="1"/>
    <col min="13562" max="13562" width="32" style="74" customWidth="1"/>
    <col min="13563" max="13805" width="9.140625" style="74"/>
    <col min="13806" max="13806" width="4.5703125" style="74" customWidth="1"/>
    <col min="13807" max="13807" width="13.7109375" style="74" customWidth="1"/>
    <col min="13808" max="13808" width="19" style="74" customWidth="1"/>
    <col min="13809" max="13809" width="6.42578125" style="74" customWidth="1"/>
    <col min="13810" max="13810" width="4.140625" style="74" bestFit="1" customWidth="1"/>
    <col min="13811" max="13811" width="3.85546875" style="74" customWidth="1"/>
    <col min="13812" max="13812" width="7.42578125" style="74" customWidth="1"/>
    <col min="13813" max="13813" width="7.28515625" style="74" customWidth="1"/>
    <col min="13814" max="13814" width="5.85546875" style="74" bestFit="1" customWidth="1"/>
    <col min="13815" max="13815" width="9.7109375" style="74" customWidth="1"/>
    <col min="13816" max="13816" width="7.7109375" style="74" customWidth="1"/>
    <col min="13817" max="13817" width="5.85546875" style="74" bestFit="1" customWidth="1"/>
    <col min="13818" max="13818" width="32" style="74" customWidth="1"/>
    <col min="13819" max="14061" width="9.140625" style="74"/>
    <col min="14062" max="14062" width="4.5703125" style="74" customWidth="1"/>
    <col min="14063" max="14063" width="13.7109375" style="74" customWidth="1"/>
    <col min="14064" max="14064" width="19" style="74" customWidth="1"/>
    <col min="14065" max="14065" width="6.42578125" style="74" customWidth="1"/>
    <col min="14066" max="14066" width="4.140625" style="74" bestFit="1" customWidth="1"/>
    <col min="14067" max="14067" width="3.85546875" style="74" customWidth="1"/>
    <col min="14068" max="14068" width="7.42578125" style="74" customWidth="1"/>
    <col min="14069" max="14069" width="7.28515625" style="74" customWidth="1"/>
    <col min="14070" max="14070" width="5.85546875" style="74" bestFit="1" customWidth="1"/>
    <col min="14071" max="14071" width="9.7109375" style="74" customWidth="1"/>
    <col min="14072" max="14072" width="7.7109375" style="74" customWidth="1"/>
    <col min="14073" max="14073" width="5.85546875" style="74" bestFit="1" customWidth="1"/>
    <col min="14074" max="14074" width="32" style="74" customWidth="1"/>
    <col min="14075" max="14317" width="9.140625" style="74"/>
    <col min="14318" max="14318" width="4.5703125" style="74" customWidth="1"/>
    <col min="14319" max="14319" width="13.7109375" style="74" customWidth="1"/>
    <col min="14320" max="14320" width="19" style="74" customWidth="1"/>
    <col min="14321" max="14321" width="6.42578125" style="74" customWidth="1"/>
    <col min="14322" max="14322" width="4.140625" style="74" bestFit="1" customWidth="1"/>
    <col min="14323" max="14323" width="3.85546875" style="74" customWidth="1"/>
    <col min="14324" max="14324" width="7.42578125" style="74" customWidth="1"/>
    <col min="14325" max="14325" width="7.28515625" style="74" customWidth="1"/>
    <col min="14326" max="14326" width="5.85546875" style="74" bestFit="1" customWidth="1"/>
    <col min="14327" max="14327" width="9.7109375" style="74" customWidth="1"/>
    <col min="14328" max="14328" width="7.7109375" style="74" customWidth="1"/>
    <col min="14329" max="14329" width="5.85546875" style="74" bestFit="1" customWidth="1"/>
    <col min="14330" max="14330" width="32" style="74" customWidth="1"/>
    <col min="14331" max="14573" width="9.140625" style="74"/>
    <col min="14574" max="14574" width="4.5703125" style="74" customWidth="1"/>
    <col min="14575" max="14575" width="13.7109375" style="74" customWidth="1"/>
    <col min="14576" max="14576" width="19" style="74" customWidth="1"/>
    <col min="14577" max="14577" width="6.42578125" style="74" customWidth="1"/>
    <col min="14578" max="14578" width="4.140625" style="74" bestFit="1" customWidth="1"/>
    <col min="14579" max="14579" width="3.85546875" style="74" customWidth="1"/>
    <col min="14580" max="14580" width="7.42578125" style="74" customWidth="1"/>
    <col min="14581" max="14581" width="7.28515625" style="74" customWidth="1"/>
    <col min="14582" max="14582" width="5.85546875" style="74" bestFit="1" customWidth="1"/>
    <col min="14583" max="14583" width="9.7109375" style="74" customWidth="1"/>
    <col min="14584" max="14584" width="7.7109375" style="74" customWidth="1"/>
    <col min="14585" max="14585" width="5.85546875" style="74" bestFit="1" customWidth="1"/>
    <col min="14586" max="14586" width="32" style="74" customWidth="1"/>
    <col min="14587" max="14829" width="9.140625" style="74"/>
    <col min="14830" max="14830" width="4.5703125" style="74" customWidth="1"/>
    <col min="14831" max="14831" width="13.7109375" style="74" customWidth="1"/>
    <col min="14832" max="14832" width="19" style="74" customWidth="1"/>
    <col min="14833" max="14833" width="6.42578125" style="74" customWidth="1"/>
    <col min="14834" max="14834" width="4.140625" style="74" bestFit="1" customWidth="1"/>
    <col min="14835" max="14835" width="3.85546875" style="74" customWidth="1"/>
    <col min="14836" max="14836" width="7.42578125" style="74" customWidth="1"/>
    <col min="14837" max="14837" width="7.28515625" style="74" customWidth="1"/>
    <col min="14838" max="14838" width="5.85546875" style="74" bestFit="1" customWidth="1"/>
    <col min="14839" max="14839" width="9.7109375" style="74" customWidth="1"/>
    <col min="14840" max="14840" width="7.7109375" style="74" customWidth="1"/>
    <col min="14841" max="14841" width="5.85546875" style="74" bestFit="1" customWidth="1"/>
    <col min="14842" max="14842" width="32" style="74" customWidth="1"/>
    <col min="14843" max="15085" width="9.140625" style="74"/>
    <col min="15086" max="15086" width="4.5703125" style="74" customWidth="1"/>
    <col min="15087" max="15087" width="13.7109375" style="74" customWidth="1"/>
    <col min="15088" max="15088" width="19" style="74" customWidth="1"/>
    <col min="15089" max="15089" width="6.42578125" style="74" customWidth="1"/>
    <col min="15090" max="15090" width="4.140625" style="74" bestFit="1" customWidth="1"/>
    <col min="15091" max="15091" width="3.85546875" style="74" customWidth="1"/>
    <col min="15092" max="15092" width="7.42578125" style="74" customWidth="1"/>
    <col min="15093" max="15093" width="7.28515625" style="74" customWidth="1"/>
    <col min="15094" max="15094" width="5.85546875" style="74" bestFit="1" customWidth="1"/>
    <col min="15095" max="15095" width="9.7109375" style="74" customWidth="1"/>
    <col min="15096" max="15096" width="7.7109375" style="74" customWidth="1"/>
    <col min="15097" max="15097" width="5.85546875" style="74" bestFit="1" customWidth="1"/>
    <col min="15098" max="15098" width="32" style="74" customWidth="1"/>
    <col min="15099" max="15341" width="9.140625" style="74"/>
    <col min="15342" max="15342" width="4.5703125" style="74" customWidth="1"/>
    <col min="15343" max="15343" width="13.7109375" style="74" customWidth="1"/>
    <col min="15344" max="15344" width="19" style="74" customWidth="1"/>
    <col min="15345" max="15345" width="6.42578125" style="74" customWidth="1"/>
    <col min="15346" max="15346" width="4.140625" style="74" bestFit="1" customWidth="1"/>
    <col min="15347" max="15347" width="3.85546875" style="74" customWidth="1"/>
    <col min="15348" max="15348" width="7.42578125" style="74" customWidth="1"/>
    <col min="15349" max="15349" width="7.28515625" style="74" customWidth="1"/>
    <col min="15350" max="15350" width="5.85546875" style="74" bestFit="1" customWidth="1"/>
    <col min="15351" max="15351" width="9.7109375" style="74" customWidth="1"/>
    <col min="15352" max="15352" width="7.7109375" style="74" customWidth="1"/>
    <col min="15353" max="15353" width="5.85546875" style="74" bestFit="1" customWidth="1"/>
    <col min="15354" max="15354" width="32" style="74" customWidth="1"/>
    <col min="15355" max="15597" width="9.140625" style="74"/>
    <col min="15598" max="15598" width="4.5703125" style="74" customWidth="1"/>
    <col min="15599" max="15599" width="13.7109375" style="74" customWidth="1"/>
    <col min="15600" max="15600" width="19" style="74" customWidth="1"/>
    <col min="15601" max="15601" width="6.42578125" style="74" customWidth="1"/>
    <col min="15602" max="15602" width="4.140625" style="74" bestFit="1" customWidth="1"/>
    <col min="15603" max="15603" width="3.85546875" style="74" customWidth="1"/>
    <col min="15604" max="15604" width="7.42578125" style="74" customWidth="1"/>
    <col min="15605" max="15605" width="7.28515625" style="74" customWidth="1"/>
    <col min="15606" max="15606" width="5.85546875" style="74" bestFit="1" customWidth="1"/>
    <col min="15607" max="15607" width="9.7109375" style="74" customWidth="1"/>
    <col min="15608" max="15608" width="7.7109375" style="74" customWidth="1"/>
    <col min="15609" max="15609" width="5.85546875" style="74" bestFit="1" customWidth="1"/>
    <col min="15610" max="15610" width="32" style="74" customWidth="1"/>
    <col min="15611" max="15853" width="9.140625" style="74"/>
    <col min="15854" max="15854" width="4.5703125" style="74" customWidth="1"/>
    <col min="15855" max="15855" width="13.7109375" style="74" customWidth="1"/>
    <col min="15856" max="15856" width="19" style="74" customWidth="1"/>
    <col min="15857" max="15857" width="6.42578125" style="74" customWidth="1"/>
    <col min="15858" max="15858" width="4.140625" style="74" bestFit="1" customWidth="1"/>
    <col min="15859" max="15859" width="3.85546875" style="74" customWidth="1"/>
    <col min="15860" max="15860" width="7.42578125" style="74" customWidth="1"/>
    <col min="15861" max="15861" width="7.28515625" style="74" customWidth="1"/>
    <col min="15862" max="15862" width="5.85546875" style="74" bestFit="1" customWidth="1"/>
    <col min="15863" max="15863" width="9.7109375" style="74" customWidth="1"/>
    <col min="15864" max="15864" width="7.7109375" style="74" customWidth="1"/>
    <col min="15865" max="15865" width="5.85546875" style="74" bestFit="1" customWidth="1"/>
    <col min="15866" max="15866" width="32" style="74" customWidth="1"/>
    <col min="15867" max="16109" width="9.140625" style="74"/>
    <col min="16110" max="16110" width="4.5703125" style="74" customWidth="1"/>
    <col min="16111" max="16111" width="13.7109375" style="74" customWidth="1"/>
    <col min="16112" max="16112" width="19" style="74" customWidth="1"/>
    <col min="16113" max="16113" width="6.42578125" style="74" customWidth="1"/>
    <col min="16114" max="16114" width="4.140625" style="74" bestFit="1" customWidth="1"/>
    <col min="16115" max="16115" width="3.85546875" style="74" customWidth="1"/>
    <col min="16116" max="16116" width="7.42578125" style="74" customWidth="1"/>
    <col min="16117" max="16117" width="7.28515625" style="74" customWidth="1"/>
    <col min="16118" max="16118" width="5.85546875" style="74" bestFit="1" customWidth="1"/>
    <col min="16119" max="16119" width="9.7109375" style="74" customWidth="1"/>
    <col min="16120" max="16120" width="7.7109375" style="74" customWidth="1"/>
    <col min="16121" max="16121" width="5.85546875" style="74" bestFit="1" customWidth="1"/>
    <col min="16122" max="16122" width="32" style="74" customWidth="1"/>
    <col min="16123" max="16384" width="9.140625" style="74"/>
  </cols>
  <sheetData>
    <row r="1" spans="1:12" x14ac:dyDescent="0.25">
      <c r="A1" s="209" t="s">
        <v>426</v>
      </c>
      <c r="B1" s="209"/>
      <c r="C1" s="209"/>
      <c r="D1" s="209"/>
      <c r="E1" s="209"/>
      <c r="F1" s="209"/>
      <c r="G1" s="209"/>
      <c r="H1" s="209"/>
      <c r="I1" s="209"/>
      <c r="J1" s="209"/>
      <c r="K1" s="209"/>
      <c r="L1" s="209"/>
    </row>
    <row r="2" spans="1:12" x14ac:dyDescent="0.25">
      <c r="A2" s="210" t="str">
        <f>'Biểu 02'!A2:I2</f>
        <v>(Kèm Văn bản số: 2278/SNN-KH ngày 18 tháng 9 năm 2023 của Sở Nông nghiệp và PTNT)</v>
      </c>
      <c r="B2" s="210"/>
      <c r="C2" s="210"/>
      <c r="D2" s="210"/>
      <c r="E2" s="210"/>
      <c r="F2" s="210"/>
      <c r="G2" s="210"/>
      <c r="H2" s="210"/>
      <c r="I2" s="210"/>
      <c r="J2" s="210"/>
      <c r="K2" s="210"/>
      <c r="L2" s="210"/>
    </row>
    <row r="3" spans="1:12" ht="21" customHeight="1" x14ac:dyDescent="0.25">
      <c r="A3" s="185" t="s">
        <v>0</v>
      </c>
      <c r="B3" s="185" t="s">
        <v>100</v>
      </c>
      <c r="C3" s="211" t="s">
        <v>105</v>
      </c>
      <c r="D3" s="201" t="s">
        <v>18</v>
      </c>
      <c r="E3" s="202"/>
      <c r="F3" s="202"/>
      <c r="G3" s="202"/>
      <c r="H3" s="203"/>
      <c r="I3" s="201" t="s">
        <v>408</v>
      </c>
      <c r="J3" s="202"/>
      <c r="K3" s="203"/>
      <c r="L3" s="185" t="s">
        <v>77</v>
      </c>
    </row>
    <row r="4" spans="1:12" ht="42.75" x14ac:dyDescent="0.25">
      <c r="A4" s="185"/>
      <c r="B4" s="185"/>
      <c r="C4" s="212"/>
      <c r="D4" s="99" t="s">
        <v>78</v>
      </c>
      <c r="E4" s="99" t="s">
        <v>79</v>
      </c>
      <c r="F4" s="99" t="s">
        <v>80</v>
      </c>
      <c r="G4" s="99" t="s">
        <v>81</v>
      </c>
      <c r="H4" s="99" t="s">
        <v>82</v>
      </c>
      <c r="I4" s="99" t="s">
        <v>81</v>
      </c>
      <c r="J4" s="99" t="s">
        <v>82</v>
      </c>
      <c r="K4" s="108" t="s">
        <v>410</v>
      </c>
      <c r="L4" s="185"/>
    </row>
    <row r="5" spans="1:12" x14ac:dyDescent="0.25">
      <c r="A5" s="201" t="s">
        <v>400</v>
      </c>
      <c r="B5" s="203"/>
      <c r="C5" s="99"/>
      <c r="D5" s="99"/>
      <c r="E5" s="99"/>
      <c r="F5" s="99"/>
      <c r="G5" s="60">
        <f>G6+G26</f>
        <v>220.07</v>
      </c>
      <c r="H5" s="61"/>
      <c r="I5" s="60">
        <f>I6+I26</f>
        <v>207.92</v>
      </c>
      <c r="J5" s="99"/>
      <c r="K5" s="110"/>
      <c r="L5" s="99"/>
    </row>
    <row r="6" spans="1:12" ht="28.5" customHeight="1" x14ac:dyDescent="0.25">
      <c r="A6" s="99" t="s">
        <v>322</v>
      </c>
      <c r="B6" s="201" t="s">
        <v>325</v>
      </c>
      <c r="C6" s="202"/>
      <c r="D6" s="202"/>
      <c r="E6" s="202"/>
      <c r="F6" s="203"/>
      <c r="G6" s="86">
        <f>G7+G11+G15+G18+G23+G13</f>
        <v>29.75</v>
      </c>
      <c r="H6" s="87"/>
      <c r="I6" s="86">
        <f>I7+I11+I15+I18+I23+I13</f>
        <v>27.99</v>
      </c>
      <c r="K6" s="118"/>
      <c r="L6" s="88"/>
    </row>
    <row r="7" spans="1:12" x14ac:dyDescent="0.25">
      <c r="A7" s="100">
        <v>1</v>
      </c>
      <c r="B7" s="62" t="s">
        <v>13</v>
      </c>
      <c r="C7" s="101"/>
      <c r="D7" s="88"/>
      <c r="E7" s="88"/>
      <c r="F7" s="88"/>
      <c r="G7" s="92">
        <f>SUM(G8:G10)</f>
        <v>2.54</v>
      </c>
      <c r="H7" s="87"/>
      <c r="I7" s="92">
        <f>SUM(I8:I10)</f>
        <v>2.3499999999999996</v>
      </c>
      <c r="J7" s="111"/>
      <c r="K7" s="118"/>
      <c r="L7" s="88"/>
    </row>
    <row r="8" spans="1:12" ht="30" x14ac:dyDescent="0.25">
      <c r="A8" s="103" t="s">
        <v>334</v>
      </c>
      <c r="B8" s="102" t="s">
        <v>276</v>
      </c>
      <c r="C8" s="101">
        <v>2020</v>
      </c>
      <c r="D8" s="103">
        <v>161</v>
      </c>
      <c r="E8" s="103">
        <v>4</v>
      </c>
      <c r="F8" s="103" t="s">
        <v>43</v>
      </c>
      <c r="G8" s="12">
        <v>0.71</v>
      </c>
      <c r="H8" s="16">
        <v>2000</v>
      </c>
      <c r="I8" s="14">
        <f>0.71-0.1</f>
        <v>0.61</v>
      </c>
      <c r="J8" s="148">
        <v>2020</v>
      </c>
      <c r="K8" s="4">
        <f t="shared" ref="K8:K47" si="0">J8/2220*100</f>
        <v>90.990990990990994</v>
      </c>
      <c r="L8" s="13"/>
    </row>
    <row r="9" spans="1:12" ht="30" x14ac:dyDescent="0.25">
      <c r="A9" s="103" t="s">
        <v>335</v>
      </c>
      <c r="B9" s="102" t="s">
        <v>277</v>
      </c>
      <c r="C9" s="101">
        <v>2021</v>
      </c>
      <c r="D9" s="103">
        <v>161</v>
      </c>
      <c r="E9" s="103">
        <v>4</v>
      </c>
      <c r="F9" s="103">
        <v>2</v>
      </c>
      <c r="G9" s="12">
        <v>1.18</v>
      </c>
      <c r="H9" s="16">
        <v>2220</v>
      </c>
      <c r="I9" s="14">
        <f>1.18-0.09</f>
        <v>1.0899999999999999</v>
      </c>
      <c r="J9" s="148">
        <v>2220</v>
      </c>
      <c r="K9" s="4">
        <f t="shared" si="0"/>
        <v>100</v>
      </c>
      <c r="L9" s="13"/>
    </row>
    <row r="10" spans="1:12" ht="30" x14ac:dyDescent="0.25">
      <c r="A10" s="103" t="s">
        <v>336</v>
      </c>
      <c r="B10" s="102" t="s">
        <v>278</v>
      </c>
      <c r="C10" s="101">
        <v>2022</v>
      </c>
      <c r="D10" s="24">
        <v>166</v>
      </c>
      <c r="E10" s="24">
        <v>12</v>
      </c>
      <c r="F10" s="24">
        <v>3</v>
      </c>
      <c r="G10" s="12">
        <v>0.65</v>
      </c>
      <c r="H10" s="37">
        <v>2220</v>
      </c>
      <c r="I10" s="16">
        <v>0.65</v>
      </c>
      <c r="J10" s="149">
        <v>2220</v>
      </c>
      <c r="K10" s="4">
        <f t="shared" si="0"/>
        <v>100</v>
      </c>
      <c r="L10" s="11"/>
    </row>
    <row r="11" spans="1:12" x14ac:dyDescent="0.25">
      <c r="A11" s="100">
        <v>2</v>
      </c>
      <c r="B11" s="62" t="s">
        <v>7</v>
      </c>
      <c r="C11" s="101"/>
      <c r="D11" s="88"/>
      <c r="E11" s="88"/>
      <c r="F11" s="88"/>
      <c r="G11" s="92">
        <f>SUM(G12:G12)</f>
        <v>0.87</v>
      </c>
      <c r="H11" s="3"/>
      <c r="I11" s="154">
        <f>SUM(I12:I12)</f>
        <v>0.23</v>
      </c>
      <c r="J11" s="150"/>
      <c r="K11" s="4"/>
      <c r="L11" s="39"/>
    </row>
    <row r="12" spans="1:12" ht="30" x14ac:dyDescent="0.25">
      <c r="A12" s="103" t="s">
        <v>14</v>
      </c>
      <c r="B12" s="102" t="s">
        <v>281</v>
      </c>
      <c r="C12" s="101">
        <v>2022</v>
      </c>
      <c r="D12" s="103">
        <v>149</v>
      </c>
      <c r="E12" s="103">
        <v>11</v>
      </c>
      <c r="F12" s="103">
        <v>1</v>
      </c>
      <c r="G12" s="17">
        <v>0.87</v>
      </c>
      <c r="H12" s="16">
        <v>2020</v>
      </c>
      <c r="I12" s="14">
        <v>0.23</v>
      </c>
      <c r="J12" s="148">
        <v>2000</v>
      </c>
      <c r="K12" s="4">
        <f t="shared" si="0"/>
        <v>90.090090090090087</v>
      </c>
      <c r="L12" s="13"/>
    </row>
    <row r="13" spans="1:12" x14ac:dyDescent="0.25">
      <c r="A13" s="100">
        <v>3</v>
      </c>
      <c r="B13" s="62" t="s">
        <v>95</v>
      </c>
      <c r="C13" s="101"/>
      <c r="D13" s="88"/>
      <c r="E13" s="88"/>
      <c r="F13" s="88"/>
      <c r="G13" s="92">
        <f>SUM(G14)</f>
        <v>1.8</v>
      </c>
      <c r="H13" s="3"/>
      <c r="I13" s="154">
        <f>SUM(I14)</f>
        <v>1.8</v>
      </c>
      <c r="J13" s="150"/>
      <c r="K13" s="4"/>
      <c r="L13" s="39"/>
    </row>
    <row r="14" spans="1:12" ht="30" x14ac:dyDescent="0.25">
      <c r="A14" s="103" t="s">
        <v>428</v>
      </c>
      <c r="B14" s="102" t="s">
        <v>283</v>
      </c>
      <c r="C14" s="101">
        <v>2022</v>
      </c>
      <c r="D14" s="35">
        <v>244</v>
      </c>
      <c r="E14" s="35">
        <v>3</v>
      </c>
      <c r="F14" s="35">
        <v>1</v>
      </c>
      <c r="G14" s="5">
        <v>1.8</v>
      </c>
      <c r="H14" s="25">
        <v>1920</v>
      </c>
      <c r="I14" s="7">
        <v>1.8</v>
      </c>
      <c r="J14" s="151">
        <v>2090</v>
      </c>
      <c r="K14" s="4">
        <f t="shared" si="0"/>
        <v>94.14414414414415</v>
      </c>
      <c r="L14" s="13"/>
    </row>
    <row r="15" spans="1:12" x14ac:dyDescent="0.25">
      <c r="A15" s="100">
        <v>4</v>
      </c>
      <c r="B15" s="62" t="s">
        <v>3</v>
      </c>
      <c r="C15" s="101"/>
      <c r="D15" s="88"/>
      <c r="E15" s="88"/>
      <c r="F15" s="88"/>
      <c r="G15" s="92">
        <f>SUM(G16:G17)</f>
        <v>10.08</v>
      </c>
      <c r="H15" s="3"/>
      <c r="I15" s="154">
        <f>SUM(I16:I17)</f>
        <v>9.7199999999999989</v>
      </c>
      <c r="J15" s="152"/>
      <c r="K15" s="4"/>
      <c r="L15" s="99"/>
    </row>
    <row r="16" spans="1:12" ht="30" x14ac:dyDescent="0.25">
      <c r="A16" s="103" t="s">
        <v>429</v>
      </c>
      <c r="B16" s="102" t="s">
        <v>290</v>
      </c>
      <c r="C16" s="106">
        <v>2020</v>
      </c>
      <c r="D16" s="103" t="s">
        <v>69</v>
      </c>
      <c r="E16" s="103">
        <v>3</v>
      </c>
      <c r="F16" s="103">
        <v>1</v>
      </c>
      <c r="G16" s="12">
        <v>6.43</v>
      </c>
      <c r="H16" s="16">
        <v>2000</v>
      </c>
      <c r="I16" s="14">
        <v>6.43</v>
      </c>
      <c r="J16" s="148">
        <v>2210</v>
      </c>
      <c r="K16" s="4">
        <f t="shared" si="0"/>
        <v>99.549549549549553</v>
      </c>
      <c r="L16" s="15"/>
    </row>
    <row r="17" spans="1:12" ht="30" x14ac:dyDescent="0.25">
      <c r="A17" s="103" t="s">
        <v>430</v>
      </c>
      <c r="B17" s="102" t="s">
        <v>291</v>
      </c>
      <c r="C17" s="106">
        <v>2020</v>
      </c>
      <c r="D17" s="103">
        <v>181</v>
      </c>
      <c r="E17" s="103">
        <v>8</v>
      </c>
      <c r="F17" s="103">
        <v>3</v>
      </c>
      <c r="G17" s="12">
        <v>3.65</v>
      </c>
      <c r="H17" s="16">
        <v>2000</v>
      </c>
      <c r="I17" s="14">
        <v>3.29</v>
      </c>
      <c r="J17" s="148">
        <v>2086</v>
      </c>
      <c r="K17" s="4">
        <f t="shared" si="0"/>
        <v>93.963963963963963</v>
      </c>
      <c r="L17" s="13"/>
    </row>
    <row r="18" spans="1:12" x14ac:dyDescent="0.25">
      <c r="A18" s="100">
        <v>5</v>
      </c>
      <c r="B18" s="62" t="s">
        <v>9</v>
      </c>
      <c r="C18" s="101"/>
      <c r="D18" s="88"/>
      <c r="E18" s="88"/>
      <c r="F18" s="88"/>
      <c r="G18" s="92">
        <f>SUM(G19:G22)</f>
        <v>8.3699999999999992</v>
      </c>
      <c r="H18" s="3"/>
      <c r="I18" s="154">
        <f>SUM(I19:I22)</f>
        <v>8.3699999999999992</v>
      </c>
      <c r="J18" s="152"/>
      <c r="K18" s="4"/>
      <c r="L18" s="99"/>
    </row>
    <row r="19" spans="1:12" x14ac:dyDescent="0.25">
      <c r="A19" s="198" t="s">
        <v>431</v>
      </c>
      <c r="B19" s="208" t="s">
        <v>296</v>
      </c>
      <c r="C19" s="200">
        <v>2020</v>
      </c>
      <c r="D19" s="106">
        <v>355</v>
      </c>
      <c r="E19" s="106">
        <v>1</v>
      </c>
      <c r="F19" s="106" t="s">
        <v>75</v>
      </c>
      <c r="G19" s="18">
        <v>0.73</v>
      </c>
      <c r="H19" s="18">
        <v>1900</v>
      </c>
      <c r="I19" s="18">
        <v>0.73</v>
      </c>
      <c r="J19" s="153">
        <v>1900</v>
      </c>
      <c r="K19" s="4">
        <f t="shared" si="0"/>
        <v>85.585585585585591</v>
      </c>
      <c r="L19" s="106"/>
    </row>
    <row r="20" spans="1:12" x14ac:dyDescent="0.25">
      <c r="A20" s="198"/>
      <c r="B20" s="208"/>
      <c r="C20" s="200"/>
      <c r="D20" s="106">
        <v>355</v>
      </c>
      <c r="E20" s="106">
        <v>1</v>
      </c>
      <c r="F20" s="106" t="s">
        <v>66</v>
      </c>
      <c r="G20" s="18">
        <v>1.32</v>
      </c>
      <c r="H20" s="18">
        <v>2100</v>
      </c>
      <c r="I20" s="18">
        <v>1.32</v>
      </c>
      <c r="J20" s="153">
        <v>2100</v>
      </c>
      <c r="K20" s="4">
        <f t="shared" si="0"/>
        <v>94.594594594594597</v>
      </c>
      <c r="L20" s="106"/>
    </row>
    <row r="21" spans="1:12" ht="30" x14ac:dyDescent="0.25">
      <c r="A21" s="103" t="s">
        <v>432</v>
      </c>
      <c r="B21" s="102" t="s">
        <v>298</v>
      </c>
      <c r="C21" s="101">
        <v>2021</v>
      </c>
      <c r="D21" s="106">
        <v>345</v>
      </c>
      <c r="E21" s="106">
        <v>5</v>
      </c>
      <c r="F21" s="106" t="s">
        <v>28</v>
      </c>
      <c r="G21" s="18">
        <v>3.82</v>
      </c>
      <c r="H21" s="18">
        <v>2000</v>
      </c>
      <c r="I21" s="18">
        <v>3.82</v>
      </c>
      <c r="J21" s="153">
        <v>1950</v>
      </c>
      <c r="K21" s="4">
        <f t="shared" si="0"/>
        <v>87.837837837837839</v>
      </c>
      <c r="L21" s="106"/>
    </row>
    <row r="22" spans="1:12" ht="30" x14ac:dyDescent="0.25">
      <c r="A22" s="103" t="s">
        <v>433</v>
      </c>
      <c r="B22" s="102" t="s">
        <v>300</v>
      </c>
      <c r="C22" s="101">
        <v>2022</v>
      </c>
      <c r="D22" s="106">
        <v>345</v>
      </c>
      <c r="E22" s="106">
        <v>5</v>
      </c>
      <c r="F22" s="106">
        <v>2</v>
      </c>
      <c r="G22" s="21">
        <v>2.5</v>
      </c>
      <c r="H22" s="18">
        <v>2150</v>
      </c>
      <c r="I22" s="21">
        <v>2.5</v>
      </c>
      <c r="J22" s="153">
        <v>1900</v>
      </c>
      <c r="K22" s="4">
        <f t="shared" si="0"/>
        <v>85.585585585585591</v>
      </c>
      <c r="L22" s="106"/>
    </row>
    <row r="23" spans="1:12" x14ac:dyDescent="0.25">
      <c r="A23" s="100">
        <v>6</v>
      </c>
      <c r="B23" s="62" t="s">
        <v>11</v>
      </c>
      <c r="C23" s="101"/>
      <c r="D23" s="88"/>
      <c r="E23" s="88"/>
      <c r="F23" s="88"/>
      <c r="G23" s="92">
        <f>SUM(G24:G25)</f>
        <v>6.09</v>
      </c>
      <c r="H23" s="3"/>
      <c r="I23" s="154">
        <f>SUM(I24:I25)</f>
        <v>5.52</v>
      </c>
      <c r="J23" s="152"/>
      <c r="K23" s="4"/>
      <c r="L23" s="99"/>
    </row>
    <row r="24" spans="1:12" x14ac:dyDescent="0.25">
      <c r="A24" s="198" t="s">
        <v>434</v>
      </c>
      <c r="B24" s="204" t="s">
        <v>302</v>
      </c>
      <c r="C24" s="200"/>
      <c r="D24" s="106">
        <v>531</v>
      </c>
      <c r="E24" s="106">
        <v>4</v>
      </c>
      <c r="F24" s="106">
        <v>2</v>
      </c>
      <c r="G24" s="19">
        <v>2.0299999999999998</v>
      </c>
      <c r="H24" s="18">
        <v>359</v>
      </c>
      <c r="I24" s="18">
        <v>1.46</v>
      </c>
      <c r="J24" s="153">
        <v>355</v>
      </c>
      <c r="K24" s="4">
        <f t="shared" si="0"/>
        <v>15.990990990990991</v>
      </c>
      <c r="L24" s="106"/>
    </row>
    <row r="25" spans="1:12" x14ac:dyDescent="0.25">
      <c r="A25" s="198"/>
      <c r="B25" s="205"/>
      <c r="C25" s="200"/>
      <c r="D25" s="106">
        <v>532</v>
      </c>
      <c r="E25" s="106">
        <v>3</v>
      </c>
      <c r="F25" s="106">
        <v>1</v>
      </c>
      <c r="G25" s="19">
        <v>4.0599999999999996</v>
      </c>
      <c r="H25" s="18">
        <v>363</v>
      </c>
      <c r="I25" s="18">
        <v>4.0599999999999996</v>
      </c>
      <c r="J25" s="153">
        <v>360</v>
      </c>
      <c r="K25" s="4">
        <f t="shared" si="0"/>
        <v>16.216216216216218</v>
      </c>
      <c r="L25" s="19"/>
    </row>
    <row r="26" spans="1:12" ht="28.5" customHeight="1" x14ac:dyDescent="0.25">
      <c r="A26" s="99" t="s">
        <v>324</v>
      </c>
      <c r="B26" s="201" t="s">
        <v>323</v>
      </c>
      <c r="C26" s="202"/>
      <c r="D26" s="202"/>
      <c r="E26" s="202"/>
      <c r="F26" s="203"/>
      <c r="G26" s="94">
        <f>G27+G36+G38+G48+G52+G59+G66+G69+G72+G77+G88+G102+G112+G115+G119+G122</f>
        <v>190.32</v>
      </c>
      <c r="H26" s="3"/>
      <c r="I26" s="154">
        <f>I27+I36+I38+I48+I52+I59+I66+I69+I72+I77+I88+I102+I112+I115+I119+I122</f>
        <v>179.92999999999998</v>
      </c>
      <c r="J26" s="153"/>
      <c r="K26" s="4"/>
      <c r="L26" s="106"/>
    </row>
    <row r="27" spans="1:12" x14ac:dyDescent="0.25">
      <c r="A27" s="100">
        <v>1</v>
      </c>
      <c r="B27" s="31" t="s">
        <v>16</v>
      </c>
      <c r="C27" s="101"/>
      <c r="D27" s="88"/>
      <c r="E27" s="88"/>
      <c r="F27" s="88"/>
      <c r="G27" s="92">
        <f>SUM(G28:G35)</f>
        <v>19.46</v>
      </c>
      <c r="H27" s="157"/>
      <c r="I27" s="154">
        <f>SUM(I28:I35)</f>
        <v>18.27</v>
      </c>
      <c r="J27" s="150"/>
      <c r="K27" s="4"/>
      <c r="L27" s="39"/>
    </row>
    <row r="28" spans="1:12" ht="60" x14ac:dyDescent="0.25">
      <c r="A28" s="160" t="s">
        <v>334</v>
      </c>
      <c r="B28" s="104" t="s">
        <v>103</v>
      </c>
      <c r="C28" s="106">
        <v>2015</v>
      </c>
      <c r="D28" s="101">
        <v>125</v>
      </c>
      <c r="E28" s="101">
        <v>4</v>
      </c>
      <c r="F28" s="101" t="s">
        <v>23</v>
      </c>
      <c r="G28" s="2">
        <v>1.74</v>
      </c>
      <c r="H28" s="3">
        <v>1700</v>
      </c>
      <c r="I28" s="3">
        <v>1.54</v>
      </c>
      <c r="J28" s="155">
        <v>1700</v>
      </c>
      <c r="K28" s="4">
        <f t="shared" si="0"/>
        <v>76.576576576576571</v>
      </c>
      <c r="L28" s="1"/>
    </row>
    <row r="29" spans="1:12" ht="60" x14ac:dyDescent="0.25">
      <c r="A29" s="160" t="s">
        <v>335</v>
      </c>
      <c r="B29" s="104" t="s">
        <v>104</v>
      </c>
      <c r="C29" s="106">
        <v>2015</v>
      </c>
      <c r="D29" s="101">
        <v>125</v>
      </c>
      <c r="E29" s="101">
        <v>7</v>
      </c>
      <c r="F29" s="101" t="s">
        <v>26</v>
      </c>
      <c r="G29" s="2">
        <v>4.8499999999999996</v>
      </c>
      <c r="H29" s="3">
        <v>1700</v>
      </c>
      <c r="I29" s="2">
        <f>G29-0.95</f>
        <v>3.8999999999999995</v>
      </c>
      <c r="J29" s="155">
        <v>1700</v>
      </c>
      <c r="K29" s="4">
        <f t="shared" si="0"/>
        <v>76.576576576576571</v>
      </c>
      <c r="L29" s="1"/>
    </row>
    <row r="30" spans="1:12" x14ac:dyDescent="0.25">
      <c r="A30" s="198" t="s">
        <v>336</v>
      </c>
      <c r="B30" s="199" t="s">
        <v>275</v>
      </c>
      <c r="C30" s="207">
        <v>2016</v>
      </c>
      <c r="D30" s="106">
        <v>26</v>
      </c>
      <c r="E30" s="106">
        <v>7</v>
      </c>
      <c r="F30" s="106" t="s">
        <v>26</v>
      </c>
      <c r="G30" s="2">
        <v>1.59</v>
      </c>
      <c r="H30" s="3">
        <v>1700</v>
      </c>
      <c r="I30" s="4">
        <v>1.59</v>
      </c>
      <c r="J30" s="155">
        <v>1675</v>
      </c>
      <c r="K30" s="4">
        <f t="shared" si="0"/>
        <v>75.450450450450447</v>
      </c>
      <c r="L30" s="1"/>
    </row>
    <row r="31" spans="1:12" x14ac:dyDescent="0.25">
      <c r="A31" s="198"/>
      <c r="B31" s="199"/>
      <c r="C31" s="207"/>
      <c r="D31" s="101">
        <v>92</v>
      </c>
      <c r="E31" s="101">
        <v>7</v>
      </c>
      <c r="F31" s="101" t="s">
        <v>26</v>
      </c>
      <c r="G31" s="2">
        <v>1.91</v>
      </c>
      <c r="H31" s="3">
        <v>1700</v>
      </c>
      <c r="I31" s="4">
        <f>1.91-0.04</f>
        <v>1.8699999999999999</v>
      </c>
      <c r="J31" s="155">
        <v>1675</v>
      </c>
      <c r="K31" s="4">
        <f t="shared" si="0"/>
        <v>75.450450450450447</v>
      </c>
      <c r="L31" s="1"/>
    </row>
    <row r="32" spans="1:12" x14ac:dyDescent="0.25">
      <c r="A32" s="198"/>
      <c r="B32" s="199"/>
      <c r="C32" s="207"/>
      <c r="D32" s="101">
        <v>103</v>
      </c>
      <c r="E32" s="101">
        <v>7</v>
      </c>
      <c r="F32" s="101" t="s">
        <v>28</v>
      </c>
      <c r="G32" s="2">
        <v>1.23</v>
      </c>
      <c r="H32" s="3">
        <v>1700</v>
      </c>
      <c r="I32" s="4">
        <v>1.23</v>
      </c>
      <c r="J32" s="155">
        <v>1700</v>
      </c>
      <c r="K32" s="4">
        <f t="shared" si="0"/>
        <v>76.576576576576571</v>
      </c>
      <c r="L32" s="1"/>
    </row>
    <row r="33" spans="1:12" x14ac:dyDescent="0.25">
      <c r="A33" s="198"/>
      <c r="B33" s="199"/>
      <c r="C33" s="207"/>
      <c r="D33" s="35">
        <v>103</v>
      </c>
      <c r="E33" s="35">
        <v>7</v>
      </c>
      <c r="F33" s="35" t="s">
        <v>22</v>
      </c>
      <c r="G33" s="6">
        <v>1.03</v>
      </c>
      <c r="H33" s="25">
        <v>1700</v>
      </c>
      <c r="I33" s="7">
        <v>1.03</v>
      </c>
      <c r="J33" s="151">
        <v>1700</v>
      </c>
      <c r="K33" s="4">
        <f t="shared" si="0"/>
        <v>76.576576576576571</v>
      </c>
      <c r="L33" s="8"/>
    </row>
    <row r="34" spans="1:12" x14ac:dyDescent="0.25">
      <c r="A34" s="198"/>
      <c r="B34" s="199"/>
      <c r="C34" s="207"/>
      <c r="D34" s="101" t="s">
        <v>29</v>
      </c>
      <c r="E34" s="101">
        <v>8</v>
      </c>
      <c r="F34" s="101" t="s">
        <v>26</v>
      </c>
      <c r="G34" s="2">
        <v>1.23</v>
      </c>
      <c r="H34" s="3">
        <v>1700</v>
      </c>
      <c r="I34" s="4">
        <v>1.23</v>
      </c>
      <c r="J34" s="155">
        <v>1700</v>
      </c>
      <c r="K34" s="4">
        <f t="shared" si="0"/>
        <v>76.576576576576571</v>
      </c>
      <c r="L34" s="1"/>
    </row>
    <row r="35" spans="1:12" ht="30" x14ac:dyDescent="0.25">
      <c r="A35" s="160" t="s">
        <v>435</v>
      </c>
      <c r="B35" s="104" t="s">
        <v>107</v>
      </c>
      <c r="C35" s="106">
        <v>2019</v>
      </c>
      <c r="D35" s="10">
        <v>26</v>
      </c>
      <c r="E35" s="10">
        <v>6</v>
      </c>
      <c r="F35" s="10" t="s">
        <v>22</v>
      </c>
      <c r="G35" s="2">
        <v>5.88</v>
      </c>
      <c r="H35" s="36">
        <v>2000</v>
      </c>
      <c r="I35" s="3">
        <v>5.88</v>
      </c>
      <c r="J35" s="156">
        <v>1813</v>
      </c>
      <c r="K35" s="4">
        <f t="shared" si="0"/>
        <v>81.666666666666671</v>
      </c>
      <c r="L35" s="9"/>
    </row>
    <row r="36" spans="1:12" x14ac:dyDescent="0.25">
      <c r="A36" s="100">
        <v>2</v>
      </c>
      <c r="B36" s="31" t="s">
        <v>6</v>
      </c>
      <c r="C36" s="101"/>
      <c r="D36" s="88"/>
      <c r="E36" s="88"/>
      <c r="F36" s="88"/>
      <c r="G36" s="92">
        <f>SUM(G37:G37)</f>
        <v>4.54</v>
      </c>
      <c r="H36" s="157"/>
      <c r="I36" s="154">
        <f>SUM(I37:I37)</f>
        <v>4.41</v>
      </c>
      <c r="J36" s="155"/>
      <c r="K36" s="4"/>
      <c r="L36" s="88"/>
    </row>
    <row r="37" spans="1:12" ht="60" x14ac:dyDescent="0.25">
      <c r="A37" s="103" t="s">
        <v>14</v>
      </c>
      <c r="B37" s="104" t="s">
        <v>109</v>
      </c>
      <c r="C37" s="106">
        <v>2015</v>
      </c>
      <c r="D37" s="103">
        <v>93</v>
      </c>
      <c r="E37" s="103">
        <v>1</v>
      </c>
      <c r="F37" s="103" t="s">
        <v>30</v>
      </c>
      <c r="G37" s="12">
        <v>4.54</v>
      </c>
      <c r="H37" s="16">
        <v>2000</v>
      </c>
      <c r="I37" s="16">
        <v>4.41</v>
      </c>
      <c r="J37" s="148">
        <v>1767</v>
      </c>
      <c r="K37" s="4">
        <f t="shared" si="0"/>
        <v>79.594594594594597</v>
      </c>
      <c r="L37" s="13"/>
    </row>
    <row r="38" spans="1:12" x14ac:dyDescent="0.25">
      <c r="A38" s="100">
        <v>3</v>
      </c>
      <c r="B38" s="31" t="s">
        <v>13</v>
      </c>
      <c r="C38" s="101"/>
      <c r="D38" s="88"/>
      <c r="E38" s="88"/>
      <c r="F38" s="88"/>
      <c r="G38" s="92">
        <f>SUM(G39:G47)</f>
        <v>12.490000000000002</v>
      </c>
      <c r="H38" s="3"/>
      <c r="I38" s="154">
        <f>SUM(I39:I47)</f>
        <v>10.490000000000002</v>
      </c>
      <c r="J38" s="150"/>
      <c r="K38" s="4"/>
      <c r="L38" s="39"/>
    </row>
    <row r="39" spans="1:12" ht="30" x14ac:dyDescent="0.25">
      <c r="A39" s="103" t="s">
        <v>428</v>
      </c>
      <c r="B39" s="104" t="s">
        <v>110</v>
      </c>
      <c r="C39" s="106">
        <v>2015</v>
      </c>
      <c r="D39" s="103">
        <v>167</v>
      </c>
      <c r="E39" s="103">
        <v>2</v>
      </c>
      <c r="F39" s="103" t="s">
        <v>32</v>
      </c>
      <c r="G39" s="12">
        <v>1.1100000000000001</v>
      </c>
      <c r="H39" s="16">
        <v>1900</v>
      </c>
      <c r="I39" s="12">
        <v>1.1100000000000001</v>
      </c>
      <c r="J39" s="148">
        <v>1925</v>
      </c>
      <c r="K39" s="4">
        <f t="shared" si="0"/>
        <v>86.711711711711715</v>
      </c>
      <c r="L39" s="11"/>
    </row>
    <row r="40" spans="1:12" ht="30" x14ac:dyDescent="0.25">
      <c r="A40" s="103" t="s">
        <v>436</v>
      </c>
      <c r="B40" s="104" t="s">
        <v>114</v>
      </c>
      <c r="C40" s="106">
        <v>2015</v>
      </c>
      <c r="D40" s="103">
        <v>167</v>
      </c>
      <c r="E40" s="103">
        <v>2</v>
      </c>
      <c r="F40" s="103" t="s">
        <v>33</v>
      </c>
      <c r="G40" s="12">
        <v>1.27</v>
      </c>
      <c r="H40" s="16">
        <v>1980</v>
      </c>
      <c r="I40" s="16">
        <v>1.17</v>
      </c>
      <c r="J40" s="148">
        <v>1750</v>
      </c>
      <c r="K40" s="4">
        <f t="shared" si="0"/>
        <v>78.828828828828833</v>
      </c>
      <c r="L40" s="11"/>
    </row>
    <row r="41" spans="1:12" x14ac:dyDescent="0.25">
      <c r="A41" s="198" t="s">
        <v>438</v>
      </c>
      <c r="B41" s="199" t="s">
        <v>116</v>
      </c>
      <c r="C41" s="200">
        <v>2015</v>
      </c>
      <c r="D41" s="103">
        <v>155</v>
      </c>
      <c r="E41" s="103">
        <v>5</v>
      </c>
      <c r="F41" s="103" t="s">
        <v>34</v>
      </c>
      <c r="G41" s="12">
        <v>1.1399999999999999</v>
      </c>
      <c r="H41" s="16">
        <v>2030</v>
      </c>
      <c r="I41" s="16">
        <v>1.1399999999999999</v>
      </c>
      <c r="J41" s="148">
        <v>2220</v>
      </c>
      <c r="K41" s="4">
        <f t="shared" si="0"/>
        <v>100</v>
      </c>
      <c r="L41" s="11"/>
    </row>
    <row r="42" spans="1:12" x14ac:dyDescent="0.25">
      <c r="A42" s="198"/>
      <c r="B42" s="199"/>
      <c r="C42" s="200"/>
      <c r="D42" s="103">
        <v>155</v>
      </c>
      <c r="E42" s="103">
        <v>7</v>
      </c>
      <c r="F42" s="103" t="s">
        <v>35</v>
      </c>
      <c r="G42" s="12">
        <v>0.96</v>
      </c>
      <c r="H42" s="16">
        <v>1980</v>
      </c>
      <c r="I42" s="16">
        <v>0.96</v>
      </c>
      <c r="J42" s="148">
        <v>1800</v>
      </c>
      <c r="K42" s="4">
        <f t="shared" si="0"/>
        <v>81.081081081081081</v>
      </c>
      <c r="L42" s="11"/>
    </row>
    <row r="43" spans="1:12" x14ac:dyDescent="0.25">
      <c r="A43" s="198" t="s">
        <v>437</v>
      </c>
      <c r="B43" s="199" t="s">
        <v>118</v>
      </c>
      <c r="C43" s="200">
        <v>2016</v>
      </c>
      <c r="D43" s="103">
        <v>155</v>
      </c>
      <c r="E43" s="103">
        <v>6</v>
      </c>
      <c r="F43" s="103" t="s">
        <v>32</v>
      </c>
      <c r="G43" s="12">
        <v>2.2000000000000002</v>
      </c>
      <c r="H43" s="16">
        <v>1970</v>
      </c>
      <c r="I43" s="14">
        <v>1.2</v>
      </c>
      <c r="J43" s="148">
        <v>1975</v>
      </c>
      <c r="K43" s="4">
        <f t="shared" si="0"/>
        <v>88.963963963963963</v>
      </c>
      <c r="L43" s="38"/>
    </row>
    <row r="44" spans="1:12" x14ac:dyDescent="0.25">
      <c r="A44" s="198"/>
      <c r="B44" s="199"/>
      <c r="C44" s="200"/>
      <c r="D44" s="103">
        <v>167</v>
      </c>
      <c r="E44" s="103">
        <v>1</v>
      </c>
      <c r="F44" s="103" t="s">
        <v>36</v>
      </c>
      <c r="G44" s="12">
        <v>3</v>
      </c>
      <c r="H44" s="16">
        <v>1980</v>
      </c>
      <c r="I44" s="16">
        <v>2.63</v>
      </c>
      <c r="J44" s="148">
        <v>1983</v>
      </c>
      <c r="K44" s="4">
        <f t="shared" si="0"/>
        <v>89.324324324324323</v>
      </c>
      <c r="L44" s="38"/>
    </row>
    <row r="45" spans="1:12" x14ac:dyDescent="0.25">
      <c r="A45" s="198" t="s">
        <v>439</v>
      </c>
      <c r="B45" s="199" t="s">
        <v>120</v>
      </c>
      <c r="C45" s="200">
        <v>2017</v>
      </c>
      <c r="D45" s="103">
        <v>168</v>
      </c>
      <c r="E45" s="103">
        <v>3</v>
      </c>
      <c r="F45" s="103" t="s">
        <v>37</v>
      </c>
      <c r="G45" s="12">
        <v>1.46</v>
      </c>
      <c r="H45" s="16">
        <v>2003</v>
      </c>
      <c r="I45" s="14">
        <v>1.1200000000000001</v>
      </c>
      <c r="J45" s="148">
        <v>1950</v>
      </c>
      <c r="K45" s="4">
        <f t="shared" si="0"/>
        <v>87.837837837837839</v>
      </c>
      <c r="L45" s="38"/>
    </row>
    <row r="46" spans="1:12" x14ac:dyDescent="0.25">
      <c r="A46" s="198"/>
      <c r="B46" s="199"/>
      <c r="C46" s="200"/>
      <c r="D46" s="103">
        <v>168</v>
      </c>
      <c r="E46" s="103">
        <v>7</v>
      </c>
      <c r="F46" s="103" t="s">
        <v>33</v>
      </c>
      <c r="G46" s="12">
        <v>0.97</v>
      </c>
      <c r="H46" s="16">
        <v>2053</v>
      </c>
      <c r="I46" s="14">
        <v>0.83</v>
      </c>
      <c r="J46" s="148">
        <v>2220</v>
      </c>
      <c r="K46" s="4">
        <f t="shared" si="0"/>
        <v>100</v>
      </c>
      <c r="L46" s="38"/>
    </row>
    <row r="47" spans="1:12" ht="15" customHeight="1" x14ac:dyDescent="0.25">
      <c r="A47" s="103" t="s">
        <v>440</v>
      </c>
      <c r="B47" s="104" t="s">
        <v>122</v>
      </c>
      <c r="C47" s="101">
        <v>2018</v>
      </c>
      <c r="D47" s="103">
        <v>168</v>
      </c>
      <c r="E47" s="103">
        <v>2</v>
      </c>
      <c r="F47" s="103" t="s">
        <v>32</v>
      </c>
      <c r="G47" s="12">
        <v>0.38</v>
      </c>
      <c r="H47" s="16">
        <v>2084</v>
      </c>
      <c r="I47" s="16">
        <v>0.33</v>
      </c>
      <c r="J47" s="148">
        <v>1800</v>
      </c>
      <c r="K47" s="4">
        <f t="shared" si="0"/>
        <v>81.081081081081081</v>
      </c>
      <c r="L47" s="38"/>
    </row>
    <row r="48" spans="1:12" x14ac:dyDescent="0.25">
      <c r="A48" s="100">
        <v>4</v>
      </c>
      <c r="B48" s="31" t="s">
        <v>7</v>
      </c>
      <c r="C48" s="101"/>
      <c r="D48" s="88"/>
      <c r="E48" s="88"/>
      <c r="F48" s="88"/>
      <c r="G48" s="92">
        <f>SUM(G49:G51)</f>
        <v>6.87</v>
      </c>
      <c r="H48" s="3"/>
      <c r="I48" s="154">
        <f>SUM(I49:I51)</f>
        <v>6.87</v>
      </c>
      <c r="J48" s="152"/>
      <c r="K48" s="4"/>
      <c r="L48" s="39"/>
    </row>
    <row r="49" spans="1:12" ht="15" customHeight="1" x14ac:dyDescent="0.25">
      <c r="A49" s="103" t="s">
        <v>429</v>
      </c>
      <c r="B49" s="104" t="s">
        <v>138</v>
      </c>
      <c r="C49" s="101">
        <v>2016</v>
      </c>
      <c r="D49" s="103" t="s">
        <v>50</v>
      </c>
      <c r="E49" s="103">
        <v>9</v>
      </c>
      <c r="F49" s="103">
        <v>4</v>
      </c>
      <c r="G49" s="12">
        <v>4.2</v>
      </c>
      <c r="H49" s="16">
        <v>1950</v>
      </c>
      <c r="I49" s="14">
        <v>4.2</v>
      </c>
      <c r="J49" s="148">
        <v>1683</v>
      </c>
      <c r="K49" s="4">
        <f t="shared" ref="K49:K71" si="1">J49/2220*100</f>
        <v>75.810810810810807</v>
      </c>
      <c r="L49" s="13"/>
    </row>
    <row r="50" spans="1:12" ht="30" x14ac:dyDescent="0.25">
      <c r="A50" s="103" t="s">
        <v>430</v>
      </c>
      <c r="B50" s="104" t="s">
        <v>140</v>
      </c>
      <c r="C50" s="101">
        <v>2016</v>
      </c>
      <c r="D50" s="103" t="s">
        <v>50</v>
      </c>
      <c r="E50" s="103">
        <v>6</v>
      </c>
      <c r="F50" s="103">
        <v>2</v>
      </c>
      <c r="G50" s="12">
        <v>1.5</v>
      </c>
      <c r="H50" s="16">
        <v>1850</v>
      </c>
      <c r="I50" s="14">
        <v>1.5</v>
      </c>
      <c r="J50" s="148">
        <v>1850</v>
      </c>
      <c r="K50" s="4">
        <f t="shared" si="1"/>
        <v>83.333333333333343</v>
      </c>
      <c r="L50" s="13"/>
    </row>
    <row r="51" spans="1:12" ht="30" x14ac:dyDescent="0.25">
      <c r="A51" s="103" t="s">
        <v>441</v>
      </c>
      <c r="B51" s="104" t="s">
        <v>145</v>
      </c>
      <c r="C51" s="101">
        <v>2019</v>
      </c>
      <c r="D51" s="103" t="s">
        <v>49</v>
      </c>
      <c r="E51" s="103">
        <v>5</v>
      </c>
      <c r="F51" s="103" t="s">
        <v>26</v>
      </c>
      <c r="G51" s="12">
        <v>1.17</v>
      </c>
      <c r="H51" s="16">
        <v>1970</v>
      </c>
      <c r="I51" s="16">
        <v>1.17</v>
      </c>
      <c r="J51" s="148">
        <v>1725</v>
      </c>
      <c r="K51" s="4">
        <f t="shared" si="1"/>
        <v>77.702702702702695</v>
      </c>
      <c r="L51" s="13"/>
    </row>
    <row r="52" spans="1:12" x14ac:dyDescent="0.25">
      <c r="A52" s="100">
        <v>5</v>
      </c>
      <c r="B52" s="31" t="s">
        <v>95</v>
      </c>
      <c r="C52" s="101"/>
      <c r="D52" s="88"/>
      <c r="E52" s="88"/>
      <c r="F52" s="88"/>
      <c r="G52" s="92">
        <f>SUM(G53:G58)</f>
        <v>10.9</v>
      </c>
      <c r="H52" s="3"/>
      <c r="I52" s="154">
        <f>SUM(I53:I58)</f>
        <v>10.63</v>
      </c>
      <c r="J52" s="150"/>
      <c r="K52" s="4"/>
      <c r="L52" s="99"/>
    </row>
    <row r="53" spans="1:12" ht="30" x14ac:dyDescent="0.25">
      <c r="A53" s="103" t="s">
        <v>431</v>
      </c>
      <c r="B53" s="104" t="s">
        <v>148</v>
      </c>
      <c r="C53" s="106">
        <v>2014</v>
      </c>
      <c r="D53" s="35" t="s">
        <v>55</v>
      </c>
      <c r="E53" s="35">
        <v>7</v>
      </c>
      <c r="F53" s="35" t="s">
        <v>26</v>
      </c>
      <c r="G53" s="6">
        <v>2.7</v>
      </c>
      <c r="H53" s="25">
        <v>1911</v>
      </c>
      <c r="I53" s="6">
        <v>2.7</v>
      </c>
      <c r="J53" s="151">
        <v>1825</v>
      </c>
      <c r="K53" s="4">
        <f t="shared" si="1"/>
        <v>82.207207207207205</v>
      </c>
      <c r="L53" s="13"/>
    </row>
    <row r="54" spans="1:12" ht="30" x14ac:dyDescent="0.25">
      <c r="A54" s="103" t="s">
        <v>432</v>
      </c>
      <c r="B54" s="104" t="s">
        <v>152</v>
      </c>
      <c r="C54" s="106">
        <v>2015</v>
      </c>
      <c r="D54" s="35">
        <v>221</v>
      </c>
      <c r="E54" s="35">
        <v>6</v>
      </c>
      <c r="F54" s="35" t="s">
        <v>26</v>
      </c>
      <c r="G54" s="6">
        <v>1.9</v>
      </c>
      <c r="H54" s="25">
        <v>1890</v>
      </c>
      <c r="I54" s="7">
        <v>1.74</v>
      </c>
      <c r="J54" s="151">
        <v>1850</v>
      </c>
      <c r="K54" s="4">
        <f t="shared" si="1"/>
        <v>83.333333333333343</v>
      </c>
      <c r="L54" s="13"/>
    </row>
    <row r="55" spans="1:12" ht="30" x14ac:dyDescent="0.25">
      <c r="A55" s="103" t="s">
        <v>433</v>
      </c>
      <c r="B55" s="104" t="s">
        <v>154</v>
      </c>
      <c r="C55" s="106">
        <v>2015</v>
      </c>
      <c r="D55" s="35">
        <v>236</v>
      </c>
      <c r="E55" s="35">
        <v>3</v>
      </c>
      <c r="F55" s="35" t="s">
        <v>33</v>
      </c>
      <c r="G55" s="6">
        <v>0.8</v>
      </c>
      <c r="H55" s="25">
        <v>1890</v>
      </c>
      <c r="I55" s="25">
        <v>0.8</v>
      </c>
      <c r="J55" s="151">
        <v>1875</v>
      </c>
      <c r="K55" s="4">
        <f t="shared" si="1"/>
        <v>84.459459459459467</v>
      </c>
      <c r="L55" s="13"/>
    </row>
    <row r="56" spans="1:12" ht="30" x14ac:dyDescent="0.25">
      <c r="A56" s="103" t="s">
        <v>442</v>
      </c>
      <c r="B56" s="104" t="s">
        <v>156</v>
      </c>
      <c r="C56" s="106">
        <v>2016</v>
      </c>
      <c r="D56" s="35">
        <v>244</v>
      </c>
      <c r="E56" s="35">
        <v>5</v>
      </c>
      <c r="F56" s="35" t="s">
        <v>57</v>
      </c>
      <c r="G56" s="7">
        <v>0.9</v>
      </c>
      <c r="H56" s="25">
        <v>1888</v>
      </c>
      <c r="I56" s="7">
        <v>0.9</v>
      </c>
      <c r="J56" s="151">
        <v>1700</v>
      </c>
      <c r="K56" s="4">
        <f t="shared" si="1"/>
        <v>76.576576576576571</v>
      </c>
      <c r="L56" s="13"/>
    </row>
    <row r="57" spans="1:12" ht="30" x14ac:dyDescent="0.25">
      <c r="A57" s="105" t="s">
        <v>443</v>
      </c>
      <c r="B57" s="104" t="s">
        <v>160</v>
      </c>
      <c r="C57" s="106">
        <v>2017</v>
      </c>
      <c r="D57" s="35">
        <v>231</v>
      </c>
      <c r="E57" s="35">
        <v>4</v>
      </c>
      <c r="F57" s="35" t="s">
        <v>32</v>
      </c>
      <c r="G57" s="6">
        <v>3.5</v>
      </c>
      <c r="H57" s="25">
        <v>1900</v>
      </c>
      <c r="I57" s="7">
        <v>3.5</v>
      </c>
      <c r="J57" s="151">
        <v>1800</v>
      </c>
      <c r="K57" s="4">
        <f t="shared" si="1"/>
        <v>81.081081081081081</v>
      </c>
      <c r="L57" s="13"/>
    </row>
    <row r="58" spans="1:12" ht="30" x14ac:dyDescent="0.25">
      <c r="A58" s="103" t="s">
        <v>444</v>
      </c>
      <c r="B58" s="104" t="s">
        <v>162</v>
      </c>
      <c r="C58" s="106">
        <v>2019</v>
      </c>
      <c r="D58" s="35">
        <v>264</v>
      </c>
      <c r="E58" s="35">
        <v>5</v>
      </c>
      <c r="F58" s="35" t="s">
        <v>32</v>
      </c>
      <c r="G58" s="6">
        <v>1.1000000000000001</v>
      </c>
      <c r="H58" s="25">
        <v>1950</v>
      </c>
      <c r="I58" s="7">
        <v>0.99</v>
      </c>
      <c r="J58" s="151">
        <v>1975</v>
      </c>
      <c r="K58" s="4">
        <f t="shared" si="1"/>
        <v>88.963963963963963</v>
      </c>
      <c r="L58" s="13"/>
    </row>
    <row r="59" spans="1:12" x14ac:dyDescent="0.25">
      <c r="A59" s="100">
        <v>6</v>
      </c>
      <c r="B59" s="31" t="s">
        <v>5</v>
      </c>
      <c r="C59" s="101"/>
      <c r="D59" s="88"/>
      <c r="E59" s="88"/>
      <c r="F59" s="88"/>
      <c r="G59" s="92">
        <f>SUM(G60:G65)</f>
        <v>18.620000000000005</v>
      </c>
      <c r="H59" s="3"/>
      <c r="I59" s="154">
        <f>SUM(I60:I65)</f>
        <v>17.21</v>
      </c>
      <c r="J59" s="155"/>
      <c r="K59" s="4"/>
      <c r="L59" s="88"/>
    </row>
    <row r="60" spans="1:12" ht="30" x14ac:dyDescent="0.25">
      <c r="A60" s="103" t="s">
        <v>434</v>
      </c>
      <c r="B60" s="104" t="s">
        <v>166</v>
      </c>
      <c r="C60" s="106">
        <v>2015</v>
      </c>
      <c r="D60" s="103">
        <v>211</v>
      </c>
      <c r="E60" s="103">
        <v>6</v>
      </c>
      <c r="F60" s="103" t="s">
        <v>32</v>
      </c>
      <c r="G60" s="12">
        <v>3.6</v>
      </c>
      <c r="H60" s="16">
        <v>1900</v>
      </c>
      <c r="I60" s="14">
        <v>3.6</v>
      </c>
      <c r="J60" s="148">
        <v>1866</v>
      </c>
      <c r="K60" s="4">
        <f t="shared" si="1"/>
        <v>84.054054054054049</v>
      </c>
      <c r="L60" s="15"/>
    </row>
    <row r="61" spans="1:12" ht="30" x14ac:dyDescent="0.25">
      <c r="A61" s="103" t="s">
        <v>445</v>
      </c>
      <c r="B61" s="104" t="s">
        <v>168</v>
      </c>
      <c r="C61" s="106">
        <v>2015</v>
      </c>
      <c r="D61" s="103">
        <v>214</v>
      </c>
      <c r="E61" s="103">
        <v>6</v>
      </c>
      <c r="F61" s="103" t="s">
        <v>37</v>
      </c>
      <c r="G61" s="12">
        <v>2.86</v>
      </c>
      <c r="H61" s="16">
        <v>1900</v>
      </c>
      <c r="I61" s="14">
        <v>2.69</v>
      </c>
      <c r="J61" s="148">
        <v>1850</v>
      </c>
      <c r="K61" s="4">
        <f t="shared" si="1"/>
        <v>83.333333333333343</v>
      </c>
      <c r="L61" s="15"/>
    </row>
    <row r="62" spans="1:12" ht="30" x14ac:dyDescent="0.25">
      <c r="A62" s="103" t="s">
        <v>446</v>
      </c>
      <c r="B62" s="104" t="s">
        <v>172</v>
      </c>
      <c r="C62" s="106">
        <v>2016</v>
      </c>
      <c r="D62" s="103">
        <v>213</v>
      </c>
      <c r="E62" s="103">
        <v>8</v>
      </c>
      <c r="F62" s="103" t="s">
        <v>41</v>
      </c>
      <c r="G62" s="12">
        <v>7.23</v>
      </c>
      <c r="H62" s="16">
        <v>1980</v>
      </c>
      <c r="I62" s="14">
        <v>6.44</v>
      </c>
      <c r="J62" s="148">
        <v>1700</v>
      </c>
      <c r="K62" s="4">
        <f t="shared" si="1"/>
        <v>76.576576576576571</v>
      </c>
      <c r="L62" s="15"/>
    </row>
    <row r="63" spans="1:12" ht="30" x14ac:dyDescent="0.25">
      <c r="A63" s="103" t="s">
        <v>447</v>
      </c>
      <c r="B63" s="104" t="s">
        <v>174</v>
      </c>
      <c r="C63" s="106">
        <v>2017</v>
      </c>
      <c r="D63" s="103">
        <v>213</v>
      </c>
      <c r="E63" s="103">
        <v>8</v>
      </c>
      <c r="F63" s="103" t="s">
        <v>62</v>
      </c>
      <c r="G63" s="12">
        <v>1.9</v>
      </c>
      <c r="H63" s="16">
        <v>1950</v>
      </c>
      <c r="I63" s="16">
        <v>1.55</v>
      </c>
      <c r="J63" s="148">
        <v>1725</v>
      </c>
      <c r="K63" s="4">
        <f t="shared" si="1"/>
        <v>77.702702702702695</v>
      </c>
      <c r="L63" s="15"/>
    </row>
    <row r="64" spans="1:12" ht="15" customHeight="1" x14ac:dyDescent="0.25">
      <c r="A64" s="103" t="s">
        <v>448</v>
      </c>
      <c r="B64" s="104" t="s">
        <v>177</v>
      </c>
      <c r="C64" s="106">
        <v>2017</v>
      </c>
      <c r="D64" s="103">
        <v>215</v>
      </c>
      <c r="E64" s="103">
        <v>6</v>
      </c>
      <c r="F64" s="103" t="s">
        <v>33</v>
      </c>
      <c r="G64" s="12">
        <v>1.43</v>
      </c>
      <c r="H64" s="16">
        <v>1900</v>
      </c>
      <c r="I64" s="17">
        <v>1.33</v>
      </c>
      <c r="J64" s="148">
        <v>1675</v>
      </c>
      <c r="K64" s="4">
        <f t="shared" si="1"/>
        <v>75.450450450450447</v>
      </c>
      <c r="L64" s="15"/>
    </row>
    <row r="65" spans="1:12" ht="30" x14ac:dyDescent="0.25">
      <c r="A65" s="105" t="s">
        <v>449</v>
      </c>
      <c r="B65" s="104" t="s">
        <v>179</v>
      </c>
      <c r="C65" s="106">
        <v>2019</v>
      </c>
      <c r="D65" s="103">
        <v>213</v>
      </c>
      <c r="E65" s="103">
        <v>1</v>
      </c>
      <c r="F65" s="103" t="s">
        <v>33</v>
      </c>
      <c r="G65" s="12">
        <v>1.6</v>
      </c>
      <c r="H65" s="16">
        <v>1920</v>
      </c>
      <c r="I65" s="14">
        <v>1.6</v>
      </c>
      <c r="J65" s="148">
        <v>1675</v>
      </c>
      <c r="K65" s="4">
        <f t="shared" si="1"/>
        <v>75.450450450450447</v>
      </c>
      <c r="L65" s="15"/>
    </row>
    <row r="66" spans="1:12" x14ac:dyDescent="0.25">
      <c r="A66" s="100">
        <v>7</v>
      </c>
      <c r="B66" s="31" t="s">
        <v>3</v>
      </c>
      <c r="C66" s="101"/>
      <c r="D66" s="88"/>
      <c r="E66" s="88"/>
      <c r="F66" s="88"/>
      <c r="G66" s="92">
        <f>SUM(G67:G68)</f>
        <v>4.78</v>
      </c>
      <c r="H66" s="3"/>
      <c r="I66" s="154">
        <f>SUM(I67:I68)</f>
        <v>4.58</v>
      </c>
      <c r="J66" s="155"/>
      <c r="K66" s="4"/>
      <c r="L66" s="88"/>
    </row>
    <row r="67" spans="1:12" ht="60" x14ac:dyDescent="0.25">
      <c r="A67" s="103" t="s">
        <v>411</v>
      </c>
      <c r="B67" s="104" t="s">
        <v>182</v>
      </c>
      <c r="C67" s="106">
        <v>2014</v>
      </c>
      <c r="D67" s="103">
        <v>106</v>
      </c>
      <c r="E67" s="103">
        <v>1</v>
      </c>
      <c r="F67" s="103" t="s">
        <v>27</v>
      </c>
      <c r="G67" s="12">
        <v>2.68</v>
      </c>
      <c r="H67" s="16">
        <v>1900</v>
      </c>
      <c r="I67" s="12">
        <v>2.68</v>
      </c>
      <c r="J67" s="148">
        <v>2050</v>
      </c>
      <c r="K67" s="4">
        <f t="shared" si="1"/>
        <v>92.342342342342349</v>
      </c>
      <c r="L67" s="15"/>
    </row>
    <row r="68" spans="1:12" ht="30" x14ac:dyDescent="0.25">
      <c r="A68" s="103" t="s">
        <v>450</v>
      </c>
      <c r="B68" s="104" t="s">
        <v>188</v>
      </c>
      <c r="C68" s="106">
        <v>2016</v>
      </c>
      <c r="D68" s="103">
        <v>181</v>
      </c>
      <c r="E68" s="103">
        <v>8</v>
      </c>
      <c r="F68" s="103" t="s">
        <v>28</v>
      </c>
      <c r="G68" s="12">
        <v>2.1</v>
      </c>
      <c r="H68" s="16">
        <v>2030</v>
      </c>
      <c r="I68" s="14">
        <v>1.9</v>
      </c>
      <c r="J68" s="148">
        <v>1800</v>
      </c>
      <c r="K68" s="4">
        <f t="shared" si="1"/>
        <v>81.081081081081081</v>
      </c>
      <c r="L68" s="15"/>
    </row>
    <row r="69" spans="1:12" ht="28.5" x14ac:dyDescent="0.25">
      <c r="A69" s="100">
        <v>8</v>
      </c>
      <c r="B69" s="31" t="s">
        <v>10</v>
      </c>
      <c r="C69" s="101"/>
      <c r="D69" s="88"/>
      <c r="E69" s="88"/>
      <c r="F69" s="88"/>
      <c r="G69" s="92">
        <f>SUM(G70:G71)</f>
        <v>3.2</v>
      </c>
      <c r="H69" s="3"/>
      <c r="I69" s="154">
        <f>SUM(I70:I71)</f>
        <v>3.2</v>
      </c>
      <c r="J69" s="155"/>
      <c r="K69" s="4"/>
      <c r="L69" s="88"/>
    </row>
    <row r="70" spans="1:12" ht="15" customHeight="1" x14ac:dyDescent="0.25">
      <c r="A70" s="103" t="s">
        <v>451</v>
      </c>
      <c r="B70" s="104" t="s">
        <v>192</v>
      </c>
      <c r="C70" s="101">
        <v>2015</v>
      </c>
      <c r="D70" s="19">
        <v>339</v>
      </c>
      <c r="E70" s="19">
        <v>5</v>
      </c>
      <c r="F70" s="19" t="s">
        <v>27</v>
      </c>
      <c r="G70" s="18">
        <v>2.5</v>
      </c>
      <c r="H70" s="18">
        <v>2000</v>
      </c>
      <c r="I70" s="18">
        <v>2.5</v>
      </c>
      <c r="J70" s="153">
        <v>1900</v>
      </c>
      <c r="K70" s="4">
        <f t="shared" si="1"/>
        <v>85.585585585585591</v>
      </c>
      <c r="L70" s="106" t="s">
        <v>70</v>
      </c>
    </row>
    <row r="71" spans="1:12" ht="30" x14ac:dyDescent="0.25">
      <c r="A71" s="103" t="s">
        <v>452</v>
      </c>
      <c r="B71" s="102" t="s">
        <v>193</v>
      </c>
      <c r="C71" s="101"/>
      <c r="D71" s="19">
        <v>322</v>
      </c>
      <c r="E71" s="19">
        <v>1</v>
      </c>
      <c r="F71" s="19" t="s">
        <v>41</v>
      </c>
      <c r="G71" s="18">
        <v>0.7</v>
      </c>
      <c r="H71" s="18">
        <v>1900</v>
      </c>
      <c r="I71" s="18">
        <v>0.7</v>
      </c>
      <c r="J71" s="153">
        <v>1800</v>
      </c>
      <c r="K71" s="4">
        <f t="shared" si="1"/>
        <v>81.081081081081081</v>
      </c>
      <c r="L71" s="106"/>
    </row>
    <row r="72" spans="1:12" x14ac:dyDescent="0.25">
      <c r="A72" s="100">
        <v>9</v>
      </c>
      <c r="B72" s="31" t="s">
        <v>94</v>
      </c>
      <c r="C72" s="101"/>
      <c r="D72" s="88"/>
      <c r="E72" s="88"/>
      <c r="F72" s="88"/>
      <c r="G72" s="92">
        <f>SUM(G73:G76)</f>
        <v>2.6</v>
      </c>
      <c r="H72" s="3"/>
      <c r="I72" s="154">
        <f>SUM(I73:I76)</f>
        <v>2.6</v>
      </c>
      <c r="J72" s="150"/>
      <c r="K72" s="4"/>
      <c r="L72" s="99"/>
    </row>
    <row r="73" spans="1:12" ht="30" x14ac:dyDescent="0.25">
      <c r="A73" s="103" t="s">
        <v>453</v>
      </c>
      <c r="B73" s="104" t="s">
        <v>194</v>
      </c>
      <c r="C73" s="101">
        <v>2017</v>
      </c>
      <c r="D73" s="106" t="s">
        <v>71</v>
      </c>
      <c r="E73" s="106">
        <v>7</v>
      </c>
      <c r="F73" s="106" t="s">
        <v>32</v>
      </c>
      <c r="G73" s="18">
        <v>1.6</v>
      </c>
      <c r="H73" s="18">
        <v>1900</v>
      </c>
      <c r="I73" s="18">
        <v>1.6</v>
      </c>
      <c r="J73" s="153">
        <v>1900</v>
      </c>
      <c r="K73" s="4">
        <f t="shared" ref="K73:K121" si="2">J73/2220*100</f>
        <v>85.585585585585591</v>
      </c>
      <c r="L73" s="106"/>
    </row>
    <row r="74" spans="1:12" x14ac:dyDescent="0.25">
      <c r="A74" s="198" t="s">
        <v>454</v>
      </c>
      <c r="B74" s="199" t="s">
        <v>196</v>
      </c>
      <c r="C74" s="200">
        <v>2018</v>
      </c>
      <c r="D74" s="106">
        <v>310</v>
      </c>
      <c r="E74" s="106">
        <v>4</v>
      </c>
      <c r="F74" s="106" t="s">
        <v>37</v>
      </c>
      <c r="G74" s="18">
        <v>0.3</v>
      </c>
      <c r="H74" s="18">
        <v>1980</v>
      </c>
      <c r="I74" s="18">
        <v>0.3</v>
      </c>
      <c r="J74" s="153">
        <v>1980</v>
      </c>
      <c r="K74" s="4">
        <f t="shared" si="2"/>
        <v>89.189189189189193</v>
      </c>
      <c r="L74" s="19"/>
    </row>
    <row r="75" spans="1:12" x14ac:dyDescent="0.25">
      <c r="A75" s="198"/>
      <c r="B75" s="199"/>
      <c r="C75" s="200"/>
      <c r="D75" s="106">
        <v>310</v>
      </c>
      <c r="E75" s="106">
        <v>3</v>
      </c>
      <c r="F75" s="106" t="s">
        <v>72</v>
      </c>
      <c r="G75" s="18">
        <v>0.4</v>
      </c>
      <c r="H75" s="18">
        <v>1900</v>
      </c>
      <c r="I75" s="18">
        <v>0.4</v>
      </c>
      <c r="J75" s="153">
        <v>1900</v>
      </c>
      <c r="K75" s="4">
        <f t="shared" si="2"/>
        <v>85.585585585585591</v>
      </c>
      <c r="L75" s="19"/>
    </row>
    <row r="76" spans="1:12" x14ac:dyDescent="0.25">
      <c r="A76" s="198"/>
      <c r="B76" s="199"/>
      <c r="C76" s="200"/>
      <c r="D76" s="106">
        <v>310</v>
      </c>
      <c r="E76" s="106">
        <v>3</v>
      </c>
      <c r="F76" s="106" t="s">
        <v>73</v>
      </c>
      <c r="G76" s="18">
        <v>0.3</v>
      </c>
      <c r="H76" s="18">
        <v>1910</v>
      </c>
      <c r="I76" s="18">
        <v>0.3</v>
      </c>
      <c r="J76" s="153">
        <v>1910</v>
      </c>
      <c r="K76" s="4">
        <f t="shared" si="2"/>
        <v>86.036036036036037</v>
      </c>
      <c r="L76" s="19"/>
    </row>
    <row r="77" spans="1:12" x14ac:dyDescent="0.25">
      <c r="A77" s="100">
        <v>10</v>
      </c>
      <c r="B77" s="31" t="s">
        <v>9</v>
      </c>
      <c r="C77" s="101"/>
      <c r="D77" s="88"/>
      <c r="E77" s="88"/>
      <c r="F77" s="88"/>
      <c r="G77" s="92">
        <f>SUM(G78:G87)</f>
        <v>26.54</v>
      </c>
      <c r="H77" s="3"/>
      <c r="I77" s="154">
        <f>SUM(I78:I87)</f>
        <v>26.54</v>
      </c>
      <c r="J77" s="150"/>
      <c r="K77" s="4"/>
      <c r="L77" s="39"/>
    </row>
    <row r="78" spans="1:12" ht="30" x14ac:dyDescent="0.25">
      <c r="A78" s="103" t="s">
        <v>455</v>
      </c>
      <c r="B78" s="104" t="s">
        <v>197</v>
      </c>
      <c r="C78" s="106">
        <v>2015</v>
      </c>
      <c r="D78" s="106" t="s">
        <v>74</v>
      </c>
      <c r="E78" s="106">
        <v>2</v>
      </c>
      <c r="F78" s="106" t="s">
        <v>22</v>
      </c>
      <c r="G78" s="18">
        <v>2.19</v>
      </c>
      <c r="H78" s="18">
        <v>1890</v>
      </c>
      <c r="I78" s="18">
        <v>2.19</v>
      </c>
      <c r="J78" s="153">
        <v>1700</v>
      </c>
      <c r="K78" s="4">
        <f t="shared" si="2"/>
        <v>76.576576576576571</v>
      </c>
      <c r="L78" s="106"/>
    </row>
    <row r="79" spans="1:12" ht="30" x14ac:dyDescent="0.25">
      <c r="A79" s="103" t="s">
        <v>456</v>
      </c>
      <c r="B79" s="104" t="s">
        <v>199</v>
      </c>
      <c r="C79" s="106">
        <v>2015</v>
      </c>
      <c r="D79" s="106" t="s">
        <v>74</v>
      </c>
      <c r="E79" s="106">
        <v>2</v>
      </c>
      <c r="F79" s="106" t="s">
        <v>27</v>
      </c>
      <c r="G79" s="18">
        <v>2.59</v>
      </c>
      <c r="H79" s="18">
        <v>1920</v>
      </c>
      <c r="I79" s="18">
        <v>2.59</v>
      </c>
      <c r="J79" s="153">
        <v>1700</v>
      </c>
      <c r="K79" s="4">
        <f t="shared" si="2"/>
        <v>76.576576576576571</v>
      </c>
      <c r="L79" s="106"/>
    </row>
    <row r="80" spans="1:12" ht="30" x14ac:dyDescent="0.25">
      <c r="A80" s="103" t="s">
        <v>457</v>
      </c>
      <c r="B80" s="104" t="s">
        <v>201</v>
      </c>
      <c r="C80" s="106">
        <v>2016</v>
      </c>
      <c r="D80" s="106">
        <v>358</v>
      </c>
      <c r="E80" s="106">
        <v>3</v>
      </c>
      <c r="F80" s="106" t="s">
        <v>26</v>
      </c>
      <c r="G80" s="20">
        <v>4</v>
      </c>
      <c r="H80" s="18">
        <v>2060</v>
      </c>
      <c r="I80" s="20">
        <v>4</v>
      </c>
      <c r="J80" s="153">
        <v>1800</v>
      </c>
      <c r="K80" s="4">
        <f t="shared" si="2"/>
        <v>81.081081081081081</v>
      </c>
      <c r="L80" s="106"/>
    </row>
    <row r="81" spans="1:13" ht="30" x14ac:dyDescent="0.25">
      <c r="A81" s="103" t="s">
        <v>458</v>
      </c>
      <c r="B81" s="104" t="s">
        <v>203</v>
      </c>
      <c r="C81" s="106">
        <v>2016</v>
      </c>
      <c r="D81" s="106">
        <v>345</v>
      </c>
      <c r="E81" s="106">
        <v>6</v>
      </c>
      <c r="F81" s="106" t="s">
        <v>26</v>
      </c>
      <c r="G81" s="18">
        <v>2.81</v>
      </c>
      <c r="H81" s="18">
        <v>2070</v>
      </c>
      <c r="I81" s="18">
        <v>2.81</v>
      </c>
      <c r="J81" s="153">
        <v>1700</v>
      </c>
      <c r="K81" s="4">
        <f t="shared" si="2"/>
        <v>76.576576576576571</v>
      </c>
      <c r="L81" s="19"/>
    </row>
    <row r="82" spans="1:13" x14ac:dyDescent="0.25">
      <c r="A82" s="198" t="s">
        <v>459</v>
      </c>
      <c r="B82" s="199" t="s">
        <v>205</v>
      </c>
      <c r="C82" s="207">
        <v>2017</v>
      </c>
      <c r="D82" s="106" t="s">
        <v>74</v>
      </c>
      <c r="E82" s="106">
        <v>2</v>
      </c>
      <c r="F82" s="106" t="s">
        <v>26</v>
      </c>
      <c r="G82" s="18">
        <v>2.02</v>
      </c>
      <c r="H82" s="18">
        <v>1800</v>
      </c>
      <c r="I82" s="18">
        <v>2.02</v>
      </c>
      <c r="J82" s="153">
        <v>1800</v>
      </c>
      <c r="K82" s="4">
        <f t="shared" si="2"/>
        <v>81.081081081081081</v>
      </c>
      <c r="L82" s="106"/>
    </row>
    <row r="83" spans="1:13" x14ac:dyDescent="0.25">
      <c r="A83" s="198"/>
      <c r="B83" s="199"/>
      <c r="C83" s="207"/>
      <c r="D83" s="106">
        <v>344</v>
      </c>
      <c r="E83" s="106">
        <v>1</v>
      </c>
      <c r="F83" s="106" t="s">
        <v>27</v>
      </c>
      <c r="G83" s="21">
        <v>2.5</v>
      </c>
      <c r="H83" s="18">
        <v>1700</v>
      </c>
      <c r="I83" s="21">
        <v>2.5</v>
      </c>
      <c r="J83" s="153">
        <v>1700</v>
      </c>
      <c r="K83" s="4">
        <f t="shared" si="2"/>
        <v>76.576576576576571</v>
      </c>
      <c r="L83" s="106"/>
    </row>
    <row r="84" spans="1:13" x14ac:dyDescent="0.25">
      <c r="A84" s="198"/>
      <c r="B84" s="199"/>
      <c r="C84" s="207"/>
      <c r="D84" s="106">
        <v>344</v>
      </c>
      <c r="E84" s="106">
        <v>1</v>
      </c>
      <c r="F84" s="106" t="s">
        <v>28</v>
      </c>
      <c r="G84" s="18">
        <v>2.73</v>
      </c>
      <c r="H84" s="18">
        <v>1750</v>
      </c>
      <c r="I84" s="18">
        <v>2.73</v>
      </c>
      <c r="J84" s="153">
        <v>1700</v>
      </c>
      <c r="K84" s="4">
        <f t="shared" si="2"/>
        <v>76.576576576576571</v>
      </c>
      <c r="L84" s="106"/>
    </row>
    <row r="85" spans="1:13" x14ac:dyDescent="0.25">
      <c r="A85" s="198"/>
      <c r="B85" s="199"/>
      <c r="C85" s="207"/>
      <c r="D85" s="106">
        <v>344</v>
      </c>
      <c r="E85" s="106">
        <v>1</v>
      </c>
      <c r="F85" s="106" t="s">
        <v>68</v>
      </c>
      <c r="G85" s="21">
        <v>2.5</v>
      </c>
      <c r="H85" s="18">
        <v>1850</v>
      </c>
      <c r="I85" s="21">
        <v>2.5</v>
      </c>
      <c r="J85" s="153">
        <v>1700</v>
      </c>
      <c r="K85" s="4">
        <f t="shared" si="2"/>
        <v>76.576576576576571</v>
      </c>
      <c r="L85" s="106"/>
    </row>
    <row r="86" spans="1:13" ht="30" x14ac:dyDescent="0.25">
      <c r="A86" s="103" t="s">
        <v>460</v>
      </c>
      <c r="B86" s="104" t="s">
        <v>207</v>
      </c>
      <c r="C86" s="106">
        <v>2018</v>
      </c>
      <c r="D86" s="106">
        <v>355</v>
      </c>
      <c r="E86" s="106">
        <v>1</v>
      </c>
      <c r="F86" s="106" t="s">
        <v>26</v>
      </c>
      <c r="G86" s="20">
        <v>1</v>
      </c>
      <c r="H86" s="18">
        <v>2110</v>
      </c>
      <c r="I86" s="20">
        <v>1</v>
      </c>
      <c r="J86" s="153">
        <v>1900</v>
      </c>
      <c r="K86" s="4">
        <f t="shared" si="2"/>
        <v>85.585585585585591</v>
      </c>
      <c r="L86" s="106"/>
    </row>
    <row r="87" spans="1:13" ht="30" x14ac:dyDescent="0.25">
      <c r="A87" s="103" t="s">
        <v>461</v>
      </c>
      <c r="B87" s="104" t="s">
        <v>209</v>
      </c>
      <c r="C87" s="106">
        <v>2019</v>
      </c>
      <c r="D87" s="106">
        <v>368</v>
      </c>
      <c r="E87" s="106">
        <v>7</v>
      </c>
      <c r="F87" s="106" t="s">
        <v>32</v>
      </c>
      <c r="G87" s="21">
        <v>4.2</v>
      </c>
      <c r="H87" s="18">
        <v>2000</v>
      </c>
      <c r="I87" s="21">
        <v>4.2</v>
      </c>
      <c r="J87" s="153">
        <v>1700</v>
      </c>
      <c r="K87" s="4">
        <f t="shared" si="2"/>
        <v>76.576576576576571</v>
      </c>
      <c r="L87" s="106"/>
    </row>
    <row r="88" spans="1:13" x14ac:dyDescent="0.25">
      <c r="A88" s="100">
        <v>11</v>
      </c>
      <c r="B88" s="31" t="s">
        <v>8</v>
      </c>
      <c r="C88" s="101"/>
      <c r="D88" s="88"/>
      <c r="E88" s="88"/>
      <c r="F88" s="88"/>
      <c r="G88" s="92">
        <f>SUM(G89:G101)</f>
        <v>26.500000000000004</v>
      </c>
      <c r="H88" s="3"/>
      <c r="I88" s="154">
        <f>SUM(I89:I101)</f>
        <v>25.020000000000003</v>
      </c>
      <c r="J88" s="155"/>
      <c r="K88" s="4"/>
      <c r="L88" s="88"/>
    </row>
    <row r="89" spans="1:13" ht="30" x14ac:dyDescent="0.25">
      <c r="A89" s="103" t="s">
        <v>462</v>
      </c>
      <c r="B89" s="104" t="s">
        <v>210</v>
      </c>
      <c r="C89" s="106">
        <v>2014</v>
      </c>
      <c r="D89" s="106">
        <v>670</v>
      </c>
      <c r="E89" s="106">
        <v>6</v>
      </c>
      <c r="F89" s="106" t="s">
        <v>26</v>
      </c>
      <c r="G89" s="98">
        <v>2.9</v>
      </c>
      <c r="H89" s="18">
        <v>2100</v>
      </c>
      <c r="I89" s="21">
        <v>2.79</v>
      </c>
      <c r="J89" s="153">
        <v>2000</v>
      </c>
      <c r="K89" s="4">
        <f t="shared" si="2"/>
        <v>90.090090090090087</v>
      </c>
      <c r="L89" s="106"/>
    </row>
    <row r="90" spans="1:13" ht="30" x14ac:dyDescent="0.25">
      <c r="A90" s="103" t="s">
        <v>463</v>
      </c>
      <c r="B90" s="104" t="s">
        <v>211</v>
      </c>
      <c r="C90" s="106">
        <v>2014</v>
      </c>
      <c r="D90" s="106">
        <v>670</v>
      </c>
      <c r="E90" s="106">
        <v>3</v>
      </c>
      <c r="F90" s="106" t="s">
        <v>26</v>
      </c>
      <c r="G90" s="19">
        <v>2.2000000000000002</v>
      </c>
      <c r="H90" s="18">
        <v>2050</v>
      </c>
      <c r="I90" s="21">
        <v>1.4400000000000002</v>
      </c>
      <c r="J90" s="153">
        <v>1800</v>
      </c>
      <c r="K90" s="4">
        <f t="shared" si="2"/>
        <v>81.081081081081081</v>
      </c>
      <c r="L90" s="106"/>
    </row>
    <row r="91" spans="1:13" ht="30" x14ac:dyDescent="0.25">
      <c r="A91" s="124" t="s">
        <v>464</v>
      </c>
      <c r="B91" s="126" t="s">
        <v>212</v>
      </c>
      <c r="C91" s="125">
        <v>2015</v>
      </c>
      <c r="D91" s="125">
        <v>670</v>
      </c>
      <c r="E91" s="125">
        <v>9</v>
      </c>
      <c r="F91" s="125" t="s">
        <v>26</v>
      </c>
      <c r="G91" s="98">
        <v>2.4</v>
      </c>
      <c r="H91" s="18">
        <v>2000</v>
      </c>
      <c r="I91" s="42">
        <v>2.4</v>
      </c>
      <c r="J91" s="115">
        <v>1800</v>
      </c>
      <c r="K91" s="118">
        <f t="shared" si="2"/>
        <v>81.081081081081081</v>
      </c>
      <c r="L91" s="125"/>
    </row>
    <row r="92" spans="1:13" ht="30" x14ac:dyDescent="0.25">
      <c r="A92" s="198" t="s">
        <v>465</v>
      </c>
      <c r="B92" s="102" t="s">
        <v>213</v>
      </c>
      <c r="C92" s="207"/>
      <c r="D92" s="106">
        <v>667</v>
      </c>
      <c r="E92" s="106">
        <v>7</v>
      </c>
      <c r="F92" s="106" t="s">
        <v>28</v>
      </c>
      <c r="G92" s="98">
        <v>3</v>
      </c>
      <c r="H92" s="18">
        <v>2000</v>
      </c>
      <c r="I92" s="21">
        <v>2.59</v>
      </c>
      <c r="J92" s="153">
        <v>1700</v>
      </c>
      <c r="K92" s="4">
        <f t="shared" si="2"/>
        <v>76.576576576576571</v>
      </c>
      <c r="L92" s="106"/>
      <c r="M92" s="85"/>
    </row>
    <row r="93" spans="1:13" ht="45" x14ac:dyDescent="0.25">
      <c r="A93" s="103" t="s">
        <v>466</v>
      </c>
      <c r="B93" s="104" t="s">
        <v>215</v>
      </c>
      <c r="C93" s="106">
        <v>2015</v>
      </c>
      <c r="D93" s="106" t="s">
        <v>83</v>
      </c>
      <c r="E93" s="106">
        <v>1</v>
      </c>
      <c r="F93" s="106" t="s">
        <v>22</v>
      </c>
      <c r="G93" s="98">
        <v>2</v>
      </c>
      <c r="H93" s="18">
        <v>1950</v>
      </c>
      <c r="I93" s="21">
        <v>2</v>
      </c>
      <c r="J93" s="153">
        <v>1750</v>
      </c>
      <c r="K93" s="4">
        <f t="shared" si="2"/>
        <v>78.828828828828833</v>
      </c>
      <c r="L93" s="106"/>
    </row>
    <row r="94" spans="1:13" ht="30" x14ac:dyDescent="0.25">
      <c r="A94" s="103" t="s">
        <v>467</v>
      </c>
      <c r="B94" s="104" t="s">
        <v>217</v>
      </c>
      <c r="C94" s="106">
        <v>2015</v>
      </c>
      <c r="D94" s="106" t="s">
        <v>84</v>
      </c>
      <c r="E94" s="106">
        <v>2</v>
      </c>
      <c r="F94" s="106" t="s">
        <v>28</v>
      </c>
      <c r="G94" s="42">
        <v>4</v>
      </c>
      <c r="H94" s="18">
        <v>2100</v>
      </c>
      <c r="I94" s="21">
        <v>4</v>
      </c>
      <c r="J94" s="153">
        <v>1680</v>
      </c>
      <c r="K94" s="4">
        <f t="shared" si="2"/>
        <v>75.675675675675677</v>
      </c>
      <c r="L94" s="106"/>
    </row>
    <row r="95" spans="1:13" x14ac:dyDescent="0.25">
      <c r="A95" s="198" t="s">
        <v>468</v>
      </c>
      <c r="B95" s="199" t="s">
        <v>220</v>
      </c>
      <c r="C95" s="207">
        <v>2016</v>
      </c>
      <c r="D95" s="19">
        <v>670</v>
      </c>
      <c r="E95" s="106">
        <v>7</v>
      </c>
      <c r="F95" s="106" t="s">
        <v>32</v>
      </c>
      <c r="G95" s="19">
        <v>1.2</v>
      </c>
      <c r="H95" s="18">
        <v>2000</v>
      </c>
      <c r="I95" s="21">
        <v>1.2</v>
      </c>
      <c r="J95" s="153">
        <v>1800</v>
      </c>
      <c r="K95" s="4">
        <f t="shared" si="2"/>
        <v>81.081081081081081</v>
      </c>
      <c r="L95" s="106"/>
    </row>
    <row r="96" spans="1:13" x14ac:dyDescent="0.25">
      <c r="A96" s="198"/>
      <c r="B96" s="199"/>
      <c r="C96" s="207"/>
      <c r="D96" s="19">
        <v>670</v>
      </c>
      <c r="E96" s="106">
        <v>7</v>
      </c>
      <c r="F96" s="106" t="s">
        <v>33</v>
      </c>
      <c r="G96" s="19">
        <v>2.8</v>
      </c>
      <c r="H96" s="18">
        <v>1980</v>
      </c>
      <c r="I96" s="21">
        <v>2.8</v>
      </c>
      <c r="J96" s="153">
        <v>1800</v>
      </c>
      <c r="K96" s="4">
        <f t="shared" si="2"/>
        <v>81.081081081081081</v>
      </c>
      <c r="L96" s="106"/>
    </row>
    <row r="97" spans="1:12" ht="30" x14ac:dyDescent="0.25">
      <c r="A97" s="105" t="s">
        <v>469</v>
      </c>
      <c r="B97" s="104" t="s">
        <v>224</v>
      </c>
      <c r="C97" s="106">
        <v>2017</v>
      </c>
      <c r="D97" s="106">
        <v>642</v>
      </c>
      <c r="E97" s="106">
        <v>6</v>
      </c>
      <c r="F97" s="106" t="s">
        <v>66</v>
      </c>
      <c r="G97" s="19">
        <v>1.6</v>
      </c>
      <c r="H97" s="18">
        <v>2000</v>
      </c>
      <c r="I97" s="21">
        <v>1.54</v>
      </c>
      <c r="J97" s="153">
        <v>1700</v>
      </c>
      <c r="K97" s="4">
        <f t="shared" si="2"/>
        <v>76.576576576576571</v>
      </c>
      <c r="L97" s="106"/>
    </row>
    <row r="98" spans="1:12" x14ac:dyDescent="0.25">
      <c r="A98" s="206" t="s">
        <v>470</v>
      </c>
      <c r="B98" s="199" t="s">
        <v>227</v>
      </c>
      <c r="C98" s="207">
        <v>2018</v>
      </c>
      <c r="D98" s="106">
        <v>668</v>
      </c>
      <c r="E98" s="106">
        <v>6</v>
      </c>
      <c r="F98" s="106" t="s">
        <v>32</v>
      </c>
      <c r="G98" s="98">
        <v>1</v>
      </c>
      <c r="H98" s="18">
        <v>2000</v>
      </c>
      <c r="I98" s="21">
        <v>1</v>
      </c>
      <c r="J98" s="153">
        <v>1925</v>
      </c>
      <c r="K98" s="4">
        <f t="shared" si="2"/>
        <v>86.711711711711715</v>
      </c>
      <c r="L98" s="19"/>
    </row>
    <row r="99" spans="1:12" x14ac:dyDescent="0.25">
      <c r="A99" s="206"/>
      <c r="B99" s="199"/>
      <c r="C99" s="207"/>
      <c r="D99" s="106">
        <v>670</v>
      </c>
      <c r="E99" s="106">
        <v>3</v>
      </c>
      <c r="F99" s="106" t="s">
        <v>33</v>
      </c>
      <c r="G99" s="98">
        <v>1.1000000000000001</v>
      </c>
      <c r="H99" s="18">
        <v>1900</v>
      </c>
      <c r="I99" s="21">
        <v>1.1000000000000001</v>
      </c>
      <c r="J99" s="153">
        <v>1900</v>
      </c>
      <c r="K99" s="4">
        <f t="shared" si="2"/>
        <v>85.585585585585591</v>
      </c>
      <c r="L99" s="19"/>
    </row>
    <row r="100" spans="1:12" x14ac:dyDescent="0.25">
      <c r="A100" s="206"/>
      <c r="B100" s="199"/>
      <c r="C100" s="207"/>
      <c r="D100" s="106">
        <v>670</v>
      </c>
      <c r="E100" s="106">
        <v>3</v>
      </c>
      <c r="F100" s="106" t="s">
        <v>32</v>
      </c>
      <c r="G100" s="19">
        <v>0.8</v>
      </c>
      <c r="H100" s="18">
        <v>1900</v>
      </c>
      <c r="I100" s="21">
        <v>0.8</v>
      </c>
      <c r="J100" s="153">
        <v>1775</v>
      </c>
      <c r="K100" s="4">
        <f t="shared" si="2"/>
        <v>79.954954954954957</v>
      </c>
      <c r="L100" s="19"/>
    </row>
    <row r="101" spans="1:12" ht="30" x14ac:dyDescent="0.25">
      <c r="A101" s="105" t="s">
        <v>471</v>
      </c>
      <c r="B101" s="104" t="s">
        <v>228</v>
      </c>
      <c r="C101" s="106">
        <v>2018</v>
      </c>
      <c r="D101" s="106">
        <v>362</v>
      </c>
      <c r="E101" s="106">
        <v>1</v>
      </c>
      <c r="F101" s="106" t="s">
        <v>32</v>
      </c>
      <c r="G101" s="19">
        <v>1.5</v>
      </c>
      <c r="H101" s="18">
        <v>1860</v>
      </c>
      <c r="I101" s="21">
        <v>1.36</v>
      </c>
      <c r="J101" s="153">
        <v>1825</v>
      </c>
      <c r="K101" s="4">
        <f t="shared" si="2"/>
        <v>82.207207207207205</v>
      </c>
      <c r="L101" s="106"/>
    </row>
    <row r="102" spans="1:12" x14ac:dyDescent="0.25">
      <c r="A102" s="100">
        <v>12</v>
      </c>
      <c r="B102" s="31" t="s">
        <v>96</v>
      </c>
      <c r="C102" s="101"/>
      <c r="D102" s="88"/>
      <c r="E102" s="88"/>
      <c r="F102" s="88"/>
      <c r="G102" s="96">
        <f>SUM(G103:G111)</f>
        <v>10.440000000000001</v>
      </c>
      <c r="H102" s="3"/>
      <c r="I102" s="157">
        <f>SUM(I103:I111)</f>
        <v>10.440000000000001</v>
      </c>
      <c r="J102" s="155"/>
      <c r="K102" s="4"/>
      <c r="L102" s="88"/>
    </row>
    <row r="103" spans="1:12" x14ac:dyDescent="0.25">
      <c r="A103" s="198" t="s">
        <v>472</v>
      </c>
      <c r="B103" s="199" t="s">
        <v>230</v>
      </c>
      <c r="C103" s="200">
        <v>2015</v>
      </c>
      <c r="D103" s="106">
        <v>666</v>
      </c>
      <c r="E103" s="106">
        <v>7</v>
      </c>
      <c r="F103" s="106" t="s">
        <v>26</v>
      </c>
      <c r="G103" s="18">
        <v>1.6</v>
      </c>
      <c r="H103" s="18">
        <v>1900</v>
      </c>
      <c r="I103" s="21">
        <v>1.6</v>
      </c>
      <c r="J103" s="153">
        <v>1900</v>
      </c>
      <c r="K103" s="4">
        <f t="shared" si="2"/>
        <v>85.585585585585591</v>
      </c>
      <c r="L103" s="106"/>
    </row>
    <row r="104" spans="1:12" x14ac:dyDescent="0.25">
      <c r="A104" s="198"/>
      <c r="B104" s="199"/>
      <c r="C104" s="200"/>
      <c r="D104" s="106">
        <v>666</v>
      </c>
      <c r="E104" s="106">
        <v>9</v>
      </c>
      <c r="F104" s="106" t="s">
        <v>26</v>
      </c>
      <c r="G104" s="18">
        <v>0.5</v>
      </c>
      <c r="H104" s="18">
        <v>1900</v>
      </c>
      <c r="I104" s="21">
        <v>0.5</v>
      </c>
      <c r="J104" s="153">
        <v>1900</v>
      </c>
      <c r="K104" s="4">
        <f t="shared" si="2"/>
        <v>85.585585585585591</v>
      </c>
      <c r="L104" s="106"/>
    </row>
    <row r="105" spans="1:12" x14ac:dyDescent="0.25">
      <c r="A105" s="198"/>
      <c r="B105" s="199"/>
      <c r="C105" s="200"/>
      <c r="D105" s="106">
        <v>671</v>
      </c>
      <c r="E105" s="106">
        <v>1</v>
      </c>
      <c r="F105" s="106" t="s">
        <v>26</v>
      </c>
      <c r="G105" s="18">
        <v>1.3</v>
      </c>
      <c r="H105" s="18">
        <v>2100</v>
      </c>
      <c r="I105" s="21">
        <v>1.3</v>
      </c>
      <c r="J105" s="153">
        <v>1900</v>
      </c>
      <c r="K105" s="4">
        <f t="shared" si="2"/>
        <v>85.585585585585591</v>
      </c>
      <c r="L105" s="106"/>
    </row>
    <row r="106" spans="1:12" x14ac:dyDescent="0.25">
      <c r="A106" s="198"/>
      <c r="B106" s="199"/>
      <c r="C106" s="200"/>
      <c r="D106" s="106">
        <v>671</v>
      </c>
      <c r="E106" s="106">
        <v>4</v>
      </c>
      <c r="F106" s="106" t="s">
        <v>22</v>
      </c>
      <c r="G106" s="18">
        <v>1.7</v>
      </c>
      <c r="H106" s="18">
        <v>2000</v>
      </c>
      <c r="I106" s="21">
        <v>1.7</v>
      </c>
      <c r="J106" s="153">
        <v>2000</v>
      </c>
      <c r="K106" s="4">
        <f t="shared" si="2"/>
        <v>90.090090090090087</v>
      </c>
      <c r="L106" s="106"/>
    </row>
    <row r="107" spans="1:12" x14ac:dyDescent="0.25">
      <c r="A107" s="198"/>
      <c r="B107" s="199"/>
      <c r="C107" s="200"/>
      <c r="D107" s="106">
        <v>671</v>
      </c>
      <c r="E107" s="106">
        <v>8</v>
      </c>
      <c r="F107" s="106" t="s">
        <v>26</v>
      </c>
      <c r="G107" s="20">
        <v>1</v>
      </c>
      <c r="H107" s="18">
        <v>1880</v>
      </c>
      <c r="I107" s="21">
        <v>1</v>
      </c>
      <c r="J107" s="153">
        <v>1800</v>
      </c>
      <c r="K107" s="4">
        <f t="shared" si="2"/>
        <v>81.081081081081081</v>
      </c>
      <c r="L107" s="106"/>
    </row>
    <row r="108" spans="1:12" x14ac:dyDescent="0.25">
      <c r="A108" s="198" t="s">
        <v>473</v>
      </c>
      <c r="B108" s="199" t="s">
        <v>232</v>
      </c>
      <c r="C108" s="200">
        <v>2017</v>
      </c>
      <c r="D108" s="106">
        <v>671</v>
      </c>
      <c r="E108" s="106">
        <v>4</v>
      </c>
      <c r="F108" s="106" t="s">
        <v>27</v>
      </c>
      <c r="G108" s="21">
        <v>1.69</v>
      </c>
      <c r="H108" s="18">
        <v>1900</v>
      </c>
      <c r="I108" s="18">
        <v>1.69</v>
      </c>
      <c r="J108" s="153">
        <v>1900</v>
      </c>
      <c r="K108" s="4">
        <f t="shared" si="2"/>
        <v>85.585585585585591</v>
      </c>
      <c r="L108" s="106"/>
    </row>
    <row r="109" spans="1:12" x14ac:dyDescent="0.25">
      <c r="A109" s="198"/>
      <c r="B109" s="199"/>
      <c r="C109" s="200"/>
      <c r="D109" s="106">
        <v>671</v>
      </c>
      <c r="E109" s="106">
        <v>5</v>
      </c>
      <c r="F109" s="106" t="s">
        <v>26</v>
      </c>
      <c r="G109" s="21">
        <v>0.85</v>
      </c>
      <c r="H109" s="18">
        <v>1875</v>
      </c>
      <c r="I109" s="18">
        <v>0.85</v>
      </c>
      <c r="J109" s="153">
        <v>1875</v>
      </c>
      <c r="K109" s="4">
        <f t="shared" si="2"/>
        <v>84.459459459459467</v>
      </c>
      <c r="L109" s="106"/>
    </row>
    <row r="110" spans="1:12" x14ac:dyDescent="0.25">
      <c r="A110" s="198"/>
      <c r="B110" s="199"/>
      <c r="C110" s="200"/>
      <c r="D110" s="106">
        <v>671</v>
      </c>
      <c r="E110" s="106">
        <v>5</v>
      </c>
      <c r="F110" s="106" t="s">
        <v>28</v>
      </c>
      <c r="G110" s="21">
        <v>0.81</v>
      </c>
      <c r="H110" s="18">
        <v>1800</v>
      </c>
      <c r="I110" s="18">
        <v>0.81</v>
      </c>
      <c r="J110" s="153">
        <v>1800</v>
      </c>
      <c r="K110" s="4">
        <f t="shared" si="2"/>
        <v>81.081081081081081</v>
      </c>
      <c r="L110" s="106"/>
    </row>
    <row r="111" spans="1:12" x14ac:dyDescent="0.25">
      <c r="A111" s="198"/>
      <c r="B111" s="199"/>
      <c r="C111" s="200"/>
      <c r="D111" s="106">
        <v>671</v>
      </c>
      <c r="E111" s="106">
        <v>8</v>
      </c>
      <c r="F111" s="106" t="s">
        <v>22</v>
      </c>
      <c r="G111" s="21">
        <v>0.99</v>
      </c>
      <c r="H111" s="18">
        <v>1900</v>
      </c>
      <c r="I111" s="21">
        <v>0.99</v>
      </c>
      <c r="J111" s="153">
        <v>1800</v>
      </c>
      <c r="K111" s="4">
        <f t="shared" si="2"/>
        <v>81.081081081081081</v>
      </c>
      <c r="L111" s="106"/>
    </row>
    <row r="112" spans="1:12" x14ac:dyDescent="0.25">
      <c r="A112" s="100">
        <v>13</v>
      </c>
      <c r="B112" s="31" t="s">
        <v>76</v>
      </c>
      <c r="C112" s="101"/>
      <c r="D112" s="88"/>
      <c r="E112" s="88"/>
      <c r="F112" s="88"/>
      <c r="G112" s="96">
        <f>SUM(G113:G114)</f>
        <v>7.29</v>
      </c>
      <c r="H112" s="3"/>
      <c r="I112" s="157">
        <f>SUM(I113:I114)</f>
        <v>7.29</v>
      </c>
      <c r="J112" s="155"/>
      <c r="K112" s="4"/>
      <c r="L112" s="88"/>
    </row>
    <row r="113" spans="1:12" ht="30" x14ac:dyDescent="0.25">
      <c r="A113" s="103" t="s">
        <v>474</v>
      </c>
      <c r="B113" s="104" t="s">
        <v>234</v>
      </c>
      <c r="C113" s="101">
        <v>2014</v>
      </c>
      <c r="D113" s="106">
        <v>609</v>
      </c>
      <c r="E113" s="106">
        <v>2</v>
      </c>
      <c r="F113" s="106" t="s">
        <v>28</v>
      </c>
      <c r="G113" s="18">
        <v>4.29</v>
      </c>
      <c r="H113" s="18">
        <v>1810</v>
      </c>
      <c r="I113" s="21">
        <v>4.29</v>
      </c>
      <c r="J113" s="153">
        <v>1750</v>
      </c>
      <c r="K113" s="4">
        <f t="shared" si="2"/>
        <v>78.828828828828833</v>
      </c>
      <c r="L113" s="106"/>
    </row>
    <row r="114" spans="1:12" ht="30" x14ac:dyDescent="0.25">
      <c r="A114" s="103" t="s">
        <v>475</v>
      </c>
      <c r="B114" s="104" t="s">
        <v>236</v>
      </c>
      <c r="C114" s="101">
        <v>2015</v>
      </c>
      <c r="D114" s="106">
        <v>609</v>
      </c>
      <c r="E114" s="106">
        <v>2</v>
      </c>
      <c r="F114" s="106" t="s">
        <v>22</v>
      </c>
      <c r="G114" s="21">
        <v>3</v>
      </c>
      <c r="H114" s="18">
        <v>1800</v>
      </c>
      <c r="I114" s="20">
        <v>3</v>
      </c>
      <c r="J114" s="153">
        <v>1700</v>
      </c>
      <c r="K114" s="4">
        <f t="shared" si="2"/>
        <v>76.576576576576571</v>
      </c>
      <c r="L114" s="106"/>
    </row>
    <row r="115" spans="1:12" x14ac:dyDescent="0.25">
      <c r="A115" s="100">
        <v>14</v>
      </c>
      <c r="B115" s="31" t="s">
        <v>4</v>
      </c>
      <c r="C115" s="101"/>
      <c r="D115" s="88"/>
      <c r="E115" s="88"/>
      <c r="F115" s="88"/>
      <c r="G115" s="96">
        <f>SUM(G116:G118)</f>
        <v>12.68</v>
      </c>
      <c r="H115" s="3"/>
      <c r="I115" s="157">
        <f>SUM(I116:I118)</f>
        <v>8.9700000000000006</v>
      </c>
      <c r="J115" s="150"/>
      <c r="K115" s="4"/>
      <c r="L115" s="39"/>
    </row>
    <row r="116" spans="1:12" ht="30" x14ac:dyDescent="0.25">
      <c r="A116" s="103" t="s">
        <v>476</v>
      </c>
      <c r="B116" s="104" t="s">
        <v>238</v>
      </c>
      <c r="C116" s="101">
        <v>2014</v>
      </c>
      <c r="D116" s="106">
        <v>443</v>
      </c>
      <c r="E116" s="106">
        <v>1</v>
      </c>
      <c r="F116" s="106" t="s">
        <v>41</v>
      </c>
      <c r="G116" s="20">
        <v>8</v>
      </c>
      <c r="H116" s="18">
        <v>1900</v>
      </c>
      <c r="I116" s="21">
        <v>4.29</v>
      </c>
      <c r="J116" s="153">
        <v>1800</v>
      </c>
      <c r="K116" s="4">
        <f t="shared" si="2"/>
        <v>81.081081081081081</v>
      </c>
      <c r="L116" s="106"/>
    </row>
    <row r="117" spans="1:12" ht="30" x14ac:dyDescent="0.25">
      <c r="A117" s="103" t="s">
        <v>477</v>
      </c>
      <c r="B117" s="104" t="s">
        <v>240</v>
      </c>
      <c r="C117" s="101">
        <v>2015</v>
      </c>
      <c r="D117" s="106">
        <v>441</v>
      </c>
      <c r="E117" s="106">
        <v>3</v>
      </c>
      <c r="F117" s="106" t="s">
        <v>22</v>
      </c>
      <c r="G117" s="18">
        <v>3.19</v>
      </c>
      <c r="H117" s="18">
        <v>1900</v>
      </c>
      <c r="I117" s="21">
        <v>3.19</v>
      </c>
      <c r="J117" s="153">
        <v>1700</v>
      </c>
      <c r="K117" s="4">
        <f t="shared" si="2"/>
        <v>76.576576576576571</v>
      </c>
      <c r="L117" s="106"/>
    </row>
    <row r="118" spans="1:12" ht="30" x14ac:dyDescent="0.25">
      <c r="A118" s="103" t="s">
        <v>478</v>
      </c>
      <c r="B118" s="104" t="s">
        <v>241</v>
      </c>
      <c r="C118" s="101">
        <v>2015</v>
      </c>
      <c r="D118" s="106">
        <v>472</v>
      </c>
      <c r="E118" s="106">
        <v>2</v>
      </c>
      <c r="F118" s="106" t="s">
        <v>28</v>
      </c>
      <c r="G118" s="21">
        <v>1.49</v>
      </c>
      <c r="H118" s="18">
        <v>2020</v>
      </c>
      <c r="I118" s="21">
        <v>1.49</v>
      </c>
      <c r="J118" s="153">
        <v>1925</v>
      </c>
      <c r="K118" s="4">
        <f t="shared" si="2"/>
        <v>86.711711711711715</v>
      </c>
      <c r="L118" s="106"/>
    </row>
    <row r="119" spans="1:12" x14ac:dyDescent="0.25">
      <c r="A119" s="100">
        <v>15</v>
      </c>
      <c r="B119" s="31" t="s">
        <v>98</v>
      </c>
      <c r="C119" s="101"/>
      <c r="D119" s="88"/>
      <c r="E119" s="88"/>
      <c r="F119" s="88"/>
      <c r="G119" s="96">
        <f>SUM(G120:G121)</f>
        <v>10.030000000000001</v>
      </c>
      <c r="H119" s="3"/>
      <c r="I119" s="157">
        <f>SUM(I120:I121)</f>
        <v>10.030000000000001</v>
      </c>
      <c r="J119" s="150"/>
      <c r="K119" s="4"/>
      <c r="L119" s="39"/>
    </row>
    <row r="120" spans="1:12" x14ac:dyDescent="0.25">
      <c r="A120" s="198" t="s">
        <v>479</v>
      </c>
      <c r="B120" s="199" t="s">
        <v>243</v>
      </c>
      <c r="C120" s="200">
        <v>2018</v>
      </c>
      <c r="D120" s="106">
        <v>409</v>
      </c>
      <c r="E120" s="106">
        <v>10</v>
      </c>
      <c r="F120" s="106" t="s">
        <v>33</v>
      </c>
      <c r="G120" s="19">
        <v>4.33</v>
      </c>
      <c r="H120" s="18">
        <v>2220</v>
      </c>
      <c r="I120" s="18">
        <v>4.33</v>
      </c>
      <c r="J120" s="153">
        <v>2180</v>
      </c>
      <c r="K120" s="4">
        <f t="shared" si="2"/>
        <v>98.198198198198199</v>
      </c>
      <c r="L120" s="19"/>
    </row>
    <row r="121" spans="1:12" x14ac:dyDescent="0.25">
      <c r="A121" s="198"/>
      <c r="B121" s="199"/>
      <c r="C121" s="200"/>
      <c r="D121" s="106">
        <v>409</v>
      </c>
      <c r="E121" s="106">
        <v>14</v>
      </c>
      <c r="F121" s="106" t="s">
        <v>33</v>
      </c>
      <c r="G121" s="19">
        <v>5.7</v>
      </c>
      <c r="H121" s="18">
        <v>2220</v>
      </c>
      <c r="I121" s="21">
        <v>5.7</v>
      </c>
      <c r="J121" s="153">
        <v>2190</v>
      </c>
      <c r="K121" s="4">
        <f t="shared" si="2"/>
        <v>98.648648648648646</v>
      </c>
      <c r="L121" s="106"/>
    </row>
    <row r="122" spans="1:12" x14ac:dyDescent="0.25">
      <c r="A122" s="100">
        <v>16</v>
      </c>
      <c r="B122" s="31" t="s">
        <v>11</v>
      </c>
      <c r="C122" s="101"/>
      <c r="D122" s="88"/>
      <c r="E122" s="88"/>
      <c r="F122" s="88"/>
      <c r="G122" s="92">
        <f>SUM(G123:G126)</f>
        <v>13.379999999999999</v>
      </c>
      <c r="H122" s="3"/>
      <c r="I122" s="154">
        <f>SUM(I123:I126)</f>
        <v>13.379999999999999</v>
      </c>
      <c r="J122" s="155"/>
      <c r="K122" s="4"/>
      <c r="L122" s="88"/>
    </row>
    <row r="123" spans="1:12" x14ac:dyDescent="0.25">
      <c r="A123" s="198" t="s">
        <v>480</v>
      </c>
      <c r="B123" s="199" t="s">
        <v>261</v>
      </c>
      <c r="C123" s="200">
        <v>2017</v>
      </c>
      <c r="D123" s="106" t="s">
        <v>91</v>
      </c>
      <c r="E123" s="106">
        <v>1</v>
      </c>
      <c r="F123" s="106">
        <v>8</v>
      </c>
      <c r="G123" s="42">
        <v>5.58</v>
      </c>
      <c r="H123" s="18">
        <v>354</v>
      </c>
      <c r="I123" s="21">
        <v>5.58</v>
      </c>
      <c r="J123" s="153">
        <v>350</v>
      </c>
      <c r="K123" s="4">
        <f>J123/417*100</f>
        <v>83.932853717026376</v>
      </c>
      <c r="L123" s="88"/>
    </row>
    <row r="124" spans="1:12" x14ac:dyDescent="0.25">
      <c r="A124" s="198"/>
      <c r="B124" s="199"/>
      <c r="C124" s="200"/>
      <c r="D124" s="106" t="s">
        <v>91</v>
      </c>
      <c r="E124" s="106">
        <v>2</v>
      </c>
      <c r="F124" s="106">
        <v>3</v>
      </c>
      <c r="G124" s="19">
        <v>1.01</v>
      </c>
      <c r="H124" s="18">
        <v>363</v>
      </c>
      <c r="I124" s="21">
        <v>1.01</v>
      </c>
      <c r="J124" s="153">
        <v>360</v>
      </c>
      <c r="K124" s="4">
        <f t="shared" ref="K124:K126" si="3">J124/417*100</f>
        <v>86.330935251798564</v>
      </c>
      <c r="L124" s="88"/>
    </row>
    <row r="125" spans="1:12" x14ac:dyDescent="0.25">
      <c r="A125" s="198"/>
      <c r="B125" s="199"/>
      <c r="C125" s="200"/>
      <c r="D125" s="106" t="s">
        <v>91</v>
      </c>
      <c r="E125" s="106">
        <v>16</v>
      </c>
      <c r="F125" s="106">
        <v>2</v>
      </c>
      <c r="G125" s="19">
        <v>3.58</v>
      </c>
      <c r="H125" s="18">
        <v>354</v>
      </c>
      <c r="I125" s="21">
        <v>3.58</v>
      </c>
      <c r="J125" s="153">
        <v>354</v>
      </c>
      <c r="K125" s="4">
        <f t="shared" si="3"/>
        <v>84.892086330935257</v>
      </c>
      <c r="L125" s="88"/>
    </row>
    <row r="126" spans="1:12" ht="30" x14ac:dyDescent="0.25">
      <c r="A126" s="103" t="s">
        <v>481</v>
      </c>
      <c r="B126" s="104" t="s">
        <v>263</v>
      </c>
      <c r="C126" s="101">
        <v>2018</v>
      </c>
      <c r="D126" s="106">
        <v>510</v>
      </c>
      <c r="E126" s="106">
        <v>3</v>
      </c>
      <c r="F126" s="106">
        <v>6</v>
      </c>
      <c r="G126" s="19">
        <v>3.21</v>
      </c>
      <c r="H126" s="18">
        <v>359</v>
      </c>
      <c r="I126" s="21">
        <v>3.21</v>
      </c>
      <c r="J126" s="153">
        <v>350</v>
      </c>
      <c r="K126" s="4">
        <f t="shared" si="3"/>
        <v>83.932853717026376</v>
      </c>
      <c r="L126" s="19"/>
    </row>
  </sheetData>
  <autoFilter ref="A4:L126"/>
  <mergeCells count="55">
    <mergeCell ref="A5:B5"/>
    <mergeCell ref="B6:F6"/>
    <mergeCell ref="A1:L1"/>
    <mergeCell ref="A2:L2"/>
    <mergeCell ref="C3:C4"/>
    <mergeCell ref="D3:H3"/>
    <mergeCell ref="L3:L4"/>
    <mergeCell ref="A3:A4"/>
    <mergeCell ref="B3:B4"/>
    <mergeCell ref="A19:A20"/>
    <mergeCell ref="B19:B20"/>
    <mergeCell ref="C19:C20"/>
    <mergeCell ref="A24:A25"/>
    <mergeCell ref="C24:C25"/>
    <mergeCell ref="A41:A42"/>
    <mergeCell ref="B41:B42"/>
    <mergeCell ref="C41:C42"/>
    <mergeCell ref="B26:F26"/>
    <mergeCell ref="A30:A34"/>
    <mergeCell ref="B30:B34"/>
    <mergeCell ref="C30:C34"/>
    <mergeCell ref="A74:A76"/>
    <mergeCell ref="B74:B76"/>
    <mergeCell ref="C74:C76"/>
    <mergeCell ref="A43:A44"/>
    <mergeCell ref="B43:B44"/>
    <mergeCell ref="C43:C44"/>
    <mergeCell ref="A45:A46"/>
    <mergeCell ref="B45:B46"/>
    <mergeCell ref="C45:C46"/>
    <mergeCell ref="C103:C107"/>
    <mergeCell ref="A95:A96"/>
    <mergeCell ref="B95:B96"/>
    <mergeCell ref="C95:C96"/>
    <mergeCell ref="A82:A85"/>
    <mergeCell ref="B82:B85"/>
    <mergeCell ref="C82:C85"/>
    <mergeCell ref="A92"/>
    <mergeCell ref="C92"/>
    <mergeCell ref="A123:A125"/>
    <mergeCell ref="B123:B125"/>
    <mergeCell ref="C123:C125"/>
    <mergeCell ref="I3:K3"/>
    <mergeCell ref="B24:B25"/>
    <mergeCell ref="A108:A111"/>
    <mergeCell ref="B108:B111"/>
    <mergeCell ref="C108:C111"/>
    <mergeCell ref="A120:A121"/>
    <mergeCell ref="B120:B121"/>
    <mergeCell ref="C120:C121"/>
    <mergeCell ref="A98:A100"/>
    <mergeCell ref="B98:B100"/>
    <mergeCell ref="C98:C100"/>
    <mergeCell ref="A103:A107"/>
    <mergeCell ref="B103:B107"/>
  </mergeCells>
  <pageMargins left="0.73" right="0.27" top="0.65" bottom="0.56999999999999995" header="0.3" footer="0.33"/>
  <pageSetup paperSize="9" orientation="landscape" r:id="rId1"/>
  <headerFooter>
    <oddHeader>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zoomScale="112" zoomScaleNormal="112" workbookViewId="0">
      <selection activeCell="L5" sqref="L5:L91"/>
    </sheetView>
  </sheetViews>
  <sheetFormatPr defaultRowHeight="15" x14ac:dyDescent="0.25"/>
  <cols>
    <col min="1" max="1" width="6" style="74" customWidth="1"/>
    <col min="2" max="2" width="35.85546875" style="74" customWidth="1"/>
    <col min="3" max="3" width="6.28515625" style="74" bestFit="1" customWidth="1"/>
    <col min="4" max="4" width="6" style="74" customWidth="1"/>
    <col min="5" max="5" width="4.140625" style="74" bestFit="1" customWidth="1"/>
    <col min="6" max="6" width="5" style="74" bestFit="1" customWidth="1"/>
    <col min="7" max="7" width="9.140625" style="74"/>
    <col min="8" max="8" width="8.140625" style="74" customWidth="1"/>
    <col min="9" max="9" width="8.7109375" style="74" customWidth="1"/>
    <col min="10" max="10" width="8.42578125" style="74" customWidth="1"/>
    <col min="11" max="11" width="10.42578125" style="74" customWidth="1"/>
    <col min="12" max="12" width="28.140625" style="74" customWidth="1"/>
    <col min="13" max="13" width="16.42578125" style="74" customWidth="1"/>
    <col min="14" max="245" width="9.140625" style="74"/>
    <col min="246" max="246" width="4.5703125" style="74" customWidth="1"/>
    <col min="247" max="247" width="13.7109375" style="74" customWidth="1"/>
    <col min="248" max="248" width="19" style="74" customWidth="1"/>
    <col min="249" max="249" width="6.42578125" style="74" customWidth="1"/>
    <col min="250" max="250" width="4.140625" style="74" bestFit="1" customWidth="1"/>
    <col min="251" max="251" width="3.85546875" style="74" customWidth="1"/>
    <col min="252" max="252" width="7.42578125" style="74" customWidth="1"/>
    <col min="253" max="253" width="7.28515625" style="74" customWidth="1"/>
    <col min="254" max="254" width="5.85546875" style="74" bestFit="1" customWidth="1"/>
    <col min="255" max="255" width="9.7109375" style="74" customWidth="1"/>
    <col min="256" max="256" width="7.7109375" style="74" customWidth="1"/>
    <col min="257" max="257" width="5.85546875" style="74" bestFit="1" customWidth="1"/>
    <col min="258" max="258" width="32" style="74" customWidth="1"/>
    <col min="259" max="501" width="9.140625" style="74"/>
    <col min="502" max="502" width="4.5703125" style="74" customWidth="1"/>
    <col min="503" max="503" width="13.7109375" style="74" customWidth="1"/>
    <col min="504" max="504" width="19" style="74" customWidth="1"/>
    <col min="505" max="505" width="6.42578125" style="74" customWidth="1"/>
    <col min="506" max="506" width="4.140625" style="74" bestFit="1" customWidth="1"/>
    <col min="507" max="507" width="3.85546875" style="74" customWidth="1"/>
    <col min="508" max="508" width="7.42578125" style="74" customWidth="1"/>
    <col min="509" max="509" width="7.28515625" style="74" customWidth="1"/>
    <col min="510" max="510" width="5.85546875" style="74" bestFit="1" customWidth="1"/>
    <col min="511" max="511" width="9.7109375" style="74" customWidth="1"/>
    <col min="512" max="512" width="7.7109375" style="74" customWidth="1"/>
    <col min="513" max="513" width="5.85546875" style="74" bestFit="1" customWidth="1"/>
    <col min="514" max="514" width="32" style="74" customWidth="1"/>
    <col min="515" max="757" width="9.140625" style="74"/>
    <col min="758" max="758" width="4.5703125" style="74" customWidth="1"/>
    <col min="759" max="759" width="13.7109375" style="74" customWidth="1"/>
    <col min="760" max="760" width="19" style="74" customWidth="1"/>
    <col min="761" max="761" width="6.42578125" style="74" customWidth="1"/>
    <col min="762" max="762" width="4.140625" style="74" bestFit="1" customWidth="1"/>
    <col min="763" max="763" width="3.85546875" style="74" customWidth="1"/>
    <col min="764" max="764" width="7.42578125" style="74" customWidth="1"/>
    <col min="765" max="765" width="7.28515625" style="74" customWidth="1"/>
    <col min="766" max="766" width="5.85546875" style="74" bestFit="1" customWidth="1"/>
    <col min="767" max="767" width="9.7109375" style="74" customWidth="1"/>
    <col min="768" max="768" width="7.7109375" style="74" customWidth="1"/>
    <col min="769" max="769" width="5.85546875" style="74" bestFit="1" customWidth="1"/>
    <col min="770" max="770" width="32" style="74" customWidth="1"/>
    <col min="771" max="1013" width="9.140625" style="74"/>
    <col min="1014" max="1014" width="4.5703125" style="74" customWidth="1"/>
    <col min="1015" max="1015" width="13.7109375" style="74" customWidth="1"/>
    <col min="1016" max="1016" width="19" style="74" customWidth="1"/>
    <col min="1017" max="1017" width="6.42578125" style="74" customWidth="1"/>
    <col min="1018" max="1018" width="4.140625" style="74" bestFit="1" customWidth="1"/>
    <col min="1019" max="1019" width="3.85546875" style="74" customWidth="1"/>
    <col min="1020" max="1020" width="7.42578125" style="74" customWidth="1"/>
    <col min="1021" max="1021" width="7.28515625" style="74" customWidth="1"/>
    <col min="1022" max="1022" width="5.85546875" style="74" bestFit="1" customWidth="1"/>
    <col min="1023" max="1023" width="9.7109375" style="74" customWidth="1"/>
    <col min="1024" max="1024" width="7.7109375" style="74" customWidth="1"/>
    <col min="1025" max="1025" width="5.85546875" style="74" bestFit="1" customWidth="1"/>
    <col min="1026" max="1026" width="32" style="74" customWidth="1"/>
    <col min="1027" max="1269" width="9.140625" style="74"/>
    <col min="1270" max="1270" width="4.5703125" style="74" customWidth="1"/>
    <col min="1271" max="1271" width="13.7109375" style="74" customWidth="1"/>
    <col min="1272" max="1272" width="19" style="74" customWidth="1"/>
    <col min="1273" max="1273" width="6.42578125" style="74" customWidth="1"/>
    <col min="1274" max="1274" width="4.140625" style="74" bestFit="1" customWidth="1"/>
    <col min="1275" max="1275" width="3.85546875" style="74" customWidth="1"/>
    <col min="1276" max="1276" width="7.42578125" style="74" customWidth="1"/>
    <col min="1277" max="1277" width="7.28515625" style="74" customWidth="1"/>
    <col min="1278" max="1278" width="5.85546875" style="74" bestFit="1" customWidth="1"/>
    <col min="1279" max="1279" width="9.7109375" style="74" customWidth="1"/>
    <col min="1280" max="1280" width="7.7109375" style="74" customWidth="1"/>
    <col min="1281" max="1281" width="5.85546875" style="74" bestFit="1" customWidth="1"/>
    <col min="1282" max="1282" width="32" style="74" customWidth="1"/>
    <col min="1283" max="1525" width="9.140625" style="74"/>
    <col min="1526" max="1526" width="4.5703125" style="74" customWidth="1"/>
    <col min="1527" max="1527" width="13.7109375" style="74" customWidth="1"/>
    <col min="1528" max="1528" width="19" style="74" customWidth="1"/>
    <col min="1529" max="1529" width="6.42578125" style="74" customWidth="1"/>
    <col min="1530" max="1530" width="4.140625" style="74" bestFit="1" customWidth="1"/>
    <col min="1531" max="1531" width="3.85546875" style="74" customWidth="1"/>
    <col min="1532" max="1532" width="7.42578125" style="74" customWidth="1"/>
    <col min="1533" max="1533" width="7.28515625" style="74" customWidth="1"/>
    <col min="1534" max="1534" width="5.85546875" style="74" bestFit="1" customWidth="1"/>
    <col min="1535" max="1535" width="9.7109375" style="74" customWidth="1"/>
    <col min="1536" max="1536" width="7.7109375" style="74" customWidth="1"/>
    <col min="1537" max="1537" width="5.85546875" style="74" bestFit="1" customWidth="1"/>
    <col min="1538" max="1538" width="32" style="74" customWidth="1"/>
    <col min="1539" max="1781" width="9.140625" style="74"/>
    <col min="1782" max="1782" width="4.5703125" style="74" customWidth="1"/>
    <col min="1783" max="1783" width="13.7109375" style="74" customWidth="1"/>
    <col min="1784" max="1784" width="19" style="74" customWidth="1"/>
    <col min="1785" max="1785" width="6.42578125" style="74" customWidth="1"/>
    <col min="1786" max="1786" width="4.140625" style="74" bestFit="1" customWidth="1"/>
    <col min="1787" max="1787" width="3.85546875" style="74" customWidth="1"/>
    <col min="1788" max="1788" width="7.42578125" style="74" customWidth="1"/>
    <col min="1789" max="1789" width="7.28515625" style="74" customWidth="1"/>
    <col min="1790" max="1790" width="5.85546875" style="74" bestFit="1" customWidth="1"/>
    <col min="1791" max="1791" width="9.7109375" style="74" customWidth="1"/>
    <col min="1792" max="1792" width="7.7109375" style="74" customWidth="1"/>
    <col min="1793" max="1793" width="5.85546875" style="74" bestFit="1" customWidth="1"/>
    <col min="1794" max="1794" width="32" style="74" customWidth="1"/>
    <col min="1795" max="2037" width="9.140625" style="74"/>
    <col min="2038" max="2038" width="4.5703125" style="74" customWidth="1"/>
    <col min="2039" max="2039" width="13.7109375" style="74" customWidth="1"/>
    <col min="2040" max="2040" width="19" style="74" customWidth="1"/>
    <col min="2041" max="2041" width="6.42578125" style="74" customWidth="1"/>
    <col min="2042" max="2042" width="4.140625" style="74" bestFit="1" customWidth="1"/>
    <col min="2043" max="2043" width="3.85546875" style="74" customWidth="1"/>
    <col min="2044" max="2044" width="7.42578125" style="74" customWidth="1"/>
    <col min="2045" max="2045" width="7.28515625" style="74" customWidth="1"/>
    <col min="2046" max="2046" width="5.85546875" style="74" bestFit="1" customWidth="1"/>
    <col min="2047" max="2047" width="9.7109375" style="74" customWidth="1"/>
    <col min="2048" max="2048" width="7.7109375" style="74" customWidth="1"/>
    <col min="2049" max="2049" width="5.85546875" style="74" bestFit="1" customWidth="1"/>
    <col min="2050" max="2050" width="32" style="74" customWidth="1"/>
    <col min="2051" max="2293" width="9.140625" style="74"/>
    <col min="2294" max="2294" width="4.5703125" style="74" customWidth="1"/>
    <col min="2295" max="2295" width="13.7109375" style="74" customWidth="1"/>
    <col min="2296" max="2296" width="19" style="74" customWidth="1"/>
    <col min="2297" max="2297" width="6.42578125" style="74" customWidth="1"/>
    <col min="2298" max="2298" width="4.140625" style="74" bestFit="1" customWidth="1"/>
    <col min="2299" max="2299" width="3.85546875" style="74" customWidth="1"/>
    <col min="2300" max="2300" width="7.42578125" style="74" customWidth="1"/>
    <col min="2301" max="2301" width="7.28515625" style="74" customWidth="1"/>
    <col min="2302" max="2302" width="5.85546875" style="74" bestFit="1" customWidth="1"/>
    <col min="2303" max="2303" width="9.7109375" style="74" customWidth="1"/>
    <col min="2304" max="2304" width="7.7109375" style="74" customWidth="1"/>
    <col min="2305" max="2305" width="5.85546875" style="74" bestFit="1" customWidth="1"/>
    <col min="2306" max="2306" width="32" style="74" customWidth="1"/>
    <col min="2307" max="2549" width="9.140625" style="74"/>
    <col min="2550" max="2550" width="4.5703125" style="74" customWidth="1"/>
    <col min="2551" max="2551" width="13.7109375" style="74" customWidth="1"/>
    <col min="2552" max="2552" width="19" style="74" customWidth="1"/>
    <col min="2553" max="2553" width="6.42578125" style="74" customWidth="1"/>
    <col min="2554" max="2554" width="4.140625" style="74" bestFit="1" customWidth="1"/>
    <col min="2555" max="2555" width="3.85546875" style="74" customWidth="1"/>
    <col min="2556" max="2556" width="7.42578125" style="74" customWidth="1"/>
    <col min="2557" max="2557" width="7.28515625" style="74" customWidth="1"/>
    <col min="2558" max="2558" width="5.85546875" style="74" bestFit="1" customWidth="1"/>
    <col min="2559" max="2559" width="9.7109375" style="74" customWidth="1"/>
    <col min="2560" max="2560" width="7.7109375" style="74" customWidth="1"/>
    <col min="2561" max="2561" width="5.85546875" style="74" bestFit="1" customWidth="1"/>
    <col min="2562" max="2562" width="32" style="74" customWidth="1"/>
    <col min="2563" max="2805" width="9.140625" style="74"/>
    <col min="2806" max="2806" width="4.5703125" style="74" customWidth="1"/>
    <col min="2807" max="2807" width="13.7109375" style="74" customWidth="1"/>
    <col min="2808" max="2808" width="19" style="74" customWidth="1"/>
    <col min="2809" max="2809" width="6.42578125" style="74" customWidth="1"/>
    <col min="2810" max="2810" width="4.140625" style="74" bestFit="1" customWidth="1"/>
    <col min="2811" max="2811" width="3.85546875" style="74" customWidth="1"/>
    <col min="2812" max="2812" width="7.42578125" style="74" customWidth="1"/>
    <col min="2813" max="2813" width="7.28515625" style="74" customWidth="1"/>
    <col min="2814" max="2814" width="5.85546875" style="74" bestFit="1" customWidth="1"/>
    <col min="2815" max="2815" width="9.7109375" style="74" customWidth="1"/>
    <col min="2816" max="2816" width="7.7109375" style="74" customWidth="1"/>
    <col min="2817" max="2817" width="5.85546875" style="74" bestFit="1" customWidth="1"/>
    <col min="2818" max="2818" width="32" style="74" customWidth="1"/>
    <col min="2819" max="3061" width="9.140625" style="74"/>
    <col min="3062" max="3062" width="4.5703125" style="74" customWidth="1"/>
    <col min="3063" max="3063" width="13.7109375" style="74" customWidth="1"/>
    <col min="3064" max="3064" width="19" style="74" customWidth="1"/>
    <col min="3065" max="3065" width="6.42578125" style="74" customWidth="1"/>
    <col min="3066" max="3066" width="4.140625" style="74" bestFit="1" customWidth="1"/>
    <col min="3067" max="3067" width="3.85546875" style="74" customWidth="1"/>
    <col min="3068" max="3068" width="7.42578125" style="74" customWidth="1"/>
    <col min="3069" max="3069" width="7.28515625" style="74" customWidth="1"/>
    <col min="3070" max="3070" width="5.85546875" style="74" bestFit="1" customWidth="1"/>
    <col min="3071" max="3071" width="9.7109375" style="74" customWidth="1"/>
    <col min="3072" max="3072" width="7.7109375" style="74" customWidth="1"/>
    <col min="3073" max="3073" width="5.85546875" style="74" bestFit="1" customWidth="1"/>
    <col min="3074" max="3074" width="32" style="74" customWidth="1"/>
    <col min="3075" max="3317" width="9.140625" style="74"/>
    <col min="3318" max="3318" width="4.5703125" style="74" customWidth="1"/>
    <col min="3319" max="3319" width="13.7109375" style="74" customWidth="1"/>
    <col min="3320" max="3320" width="19" style="74" customWidth="1"/>
    <col min="3321" max="3321" width="6.42578125" style="74" customWidth="1"/>
    <col min="3322" max="3322" width="4.140625" style="74" bestFit="1" customWidth="1"/>
    <col min="3323" max="3323" width="3.85546875" style="74" customWidth="1"/>
    <col min="3324" max="3324" width="7.42578125" style="74" customWidth="1"/>
    <col min="3325" max="3325" width="7.28515625" style="74" customWidth="1"/>
    <col min="3326" max="3326" width="5.85546875" style="74" bestFit="1" customWidth="1"/>
    <col min="3327" max="3327" width="9.7109375" style="74" customWidth="1"/>
    <col min="3328" max="3328" width="7.7109375" style="74" customWidth="1"/>
    <col min="3329" max="3329" width="5.85546875" style="74" bestFit="1" customWidth="1"/>
    <col min="3330" max="3330" width="32" style="74" customWidth="1"/>
    <col min="3331" max="3573" width="9.140625" style="74"/>
    <col min="3574" max="3574" width="4.5703125" style="74" customWidth="1"/>
    <col min="3575" max="3575" width="13.7109375" style="74" customWidth="1"/>
    <col min="3576" max="3576" width="19" style="74" customWidth="1"/>
    <col min="3577" max="3577" width="6.42578125" style="74" customWidth="1"/>
    <col min="3578" max="3578" width="4.140625" style="74" bestFit="1" customWidth="1"/>
    <col min="3579" max="3579" width="3.85546875" style="74" customWidth="1"/>
    <col min="3580" max="3580" width="7.42578125" style="74" customWidth="1"/>
    <col min="3581" max="3581" width="7.28515625" style="74" customWidth="1"/>
    <col min="3582" max="3582" width="5.85546875" style="74" bestFit="1" customWidth="1"/>
    <col min="3583" max="3583" width="9.7109375" style="74" customWidth="1"/>
    <col min="3584" max="3584" width="7.7109375" style="74" customWidth="1"/>
    <col min="3585" max="3585" width="5.85546875" style="74" bestFit="1" customWidth="1"/>
    <col min="3586" max="3586" width="32" style="74" customWidth="1"/>
    <col min="3587" max="3829" width="9.140625" style="74"/>
    <col min="3830" max="3830" width="4.5703125" style="74" customWidth="1"/>
    <col min="3831" max="3831" width="13.7109375" style="74" customWidth="1"/>
    <col min="3832" max="3832" width="19" style="74" customWidth="1"/>
    <col min="3833" max="3833" width="6.42578125" style="74" customWidth="1"/>
    <col min="3834" max="3834" width="4.140625" style="74" bestFit="1" customWidth="1"/>
    <col min="3835" max="3835" width="3.85546875" style="74" customWidth="1"/>
    <col min="3836" max="3836" width="7.42578125" style="74" customWidth="1"/>
    <col min="3837" max="3837" width="7.28515625" style="74" customWidth="1"/>
    <col min="3838" max="3838" width="5.85546875" style="74" bestFit="1" customWidth="1"/>
    <col min="3839" max="3839" width="9.7109375" style="74" customWidth="1"/>
    <col min="3840" max="3840" width="7.7109375" style="74" customWidth="1"/>
    <col min="3841" max="3841" width="5.85546875" style="74" bestFit="1" customWidth="1"/>
    <col min="3842" max="3842" width="32" style="74" customWidth="1"/>
    <col min="3843" max="4085" width="9.140625" style="74"/>
    <col min="4086" max="4086" width="4.5703125" style="74" customWidth="1"/>
    <col min="4087" max="4087" width="13.7109375" style="74" customWidth="1"/>
    <col min="4088" max="4088" width="19" style="74" customWidth="1"/>
    <col min="4089" max="4089" width="6.42578125" style="74" customWidth="1"/>
    <col min="4090" max="4090" width="4.140625" style="74" bestFit="1" customWidth="1"/>
    <col min="4091" max="4091" width="3.85546875" style="74" customWidth="1"/>
    <col min="4092" max="4092" width="7.42578125" style="74" customWidth="1"/>
    <col min="4093" max="4093" width="7.28515625" style="74" customWidth="1"/>
    <col min="4094" max="4094" width="5.85546875" style="74" bestFit="1" customWidth="1"/>
    <col min="4095" max="4095" width="9.7109375" style="74" customWidth="1"/>
    <col min="4096" max="4096" width="7.7109375" style="74" customWidth="1"/>
    <col min="4097" max="4097" width="5.85546875" style="74" bestFit="1" customWidth="1"/>
    <col min="4098" max="4098" width="32" style="74" customWidth="1"/>
    <col min="4099" max="4341" width="9.140625" style="74"/>
    <col min="4342" max="4342" width="4.5703125" style="74" customWidth="1"/>
    <col min="4343" max="4343" width="13.7109375" style="74" customWidth="1"/>
    <col min="4344" max="4344" width="19" style="74" customWidth="1"/>
    <col min="4345" max="4345" width="6.42578125" style="74" customWidth="1"/>
    <col min="4346" max="4346" width="4.140625" style="74" bestFit="1" customWidth="1"/>
    <col min="4347" max="4347" width="3.85546875" style="74" customWidth="1"/>
    <col min="4348" max="4348" width="7.42578125" style="74" customWidth="1"/>
    <col min="4349" max="4349" width="7.28515625" style="74" customWidth="1"/>
    <col min="4350" max="4350" width="5.85546875" style="74" bestFit="1" customWidth="1"/>
    <col min="4351" max="4351" width="9.7109375" style="74" customWidth="1"/>
    <col min="4352" max="4352" width="7.7109375" style="74" customWidth="1"/>
    <col min="4353" max="4353" width="5.85546875" style="74" bestFit="1" customWidth="1"/>
    <col min="4354" max="4354" width="32" style="74" customWidth="1"/>
    <col min="4355" max="4597" width="9.140625" style="74"/>
    <col min="4598" max="4598" width="4.5703125" style="74" customWidth="1"/>
    <col min="4599" max="4599" width="13.7109375" style="74" customWidth="1"/>
    <col min="4600" max="4600" width="19" style="74" customWidth="1"/>
    <col min="4601" max="4601" width="6.42578125" style="74" customWidth="1"/>
    <col min="4602" max="4602" width="4.140625" style="74" bestFit="1" customWidth="1"/>
    <col min="4603" max="4603" width="3.85546875" style="74" customWidth="1"/>
    <col min="4604" max="4604" width="7.42578125" style="74" customWidth="1"/>
    <col min="4605" max="4605" width="7.28515625" style="74" customWidth="1"/>
    <col min="4606" max="4606" width="5.85546875" style="74" bestFit="1" customWidth="1"/>
    <col min="4607" max="4607" width="9.7109375" style="74" customWidth="1"/>
    <col min="4608" max="4608" width="7.7109375" style="74" customWidth="1"/>
    <col min="4609" max="4609" width="5.85546875" style="74" bestFit="1" customWidth="1"/>
    <col min="4610" max="4610" width="32" style="74" customWidth="1"/>
    <col min="4611" max="4853" width="9.140625" style="74"/>
    <col min="4854" max="4854" width="4.5703125" style="74" customWidth="1"/>
    <col min="4855" max="4855" width="13.7109375" style="74" customWidth="1"/>
    <col min="4856" max="4856" width="19" style="74" customWidth="1"/>
    <col min="4857" max="4857" width="6.42578125" style="74" customWidth="1"/>
    <col min="4858" max="4858" width="4.140625" style="74" bestFit="1" customWidth="1"/>
    <col min="4859" max="4859" width="3.85546875" style="74" customWidth="1"/>
    <col min="4860" max="4860" width="7.42578125" style="74" customWidth="1"/>
    <col min="4861" max="4861" width="7.28515625" style="74" customWidth="1"/>
    <col min="4862" max="4862" width="5.85546875" style="74" bestFit="1" customWidth="1"/>
    <col min="4863" max="4863" width="9.7109375" style="74" customWidth="1"/>
    <col min="4864" max="4864" width="7.7109375" style="74" customWidth="1"/>
    <col min="4865" max="4865" width="5.85546875" style="74" bestFit="1" customWidth="1"/>
    <col min="4866" max="4866" width="32" style="74" customWidth="1"/>
    <col min="4867" max="5109" width="9.140625" style="74"/>
    <col min="5110" max="5110" width="4.5703125" style="74" customWidth="1"/>
    <col min="5111" max="5111" width="13.7109375" style="74" customWidth="1"/>
    <col min="5112" max="5112" width="19" style="74" customWidth="1"/>
    <col min="5113" max="5113" width="6.42578125" style="74" customWidth="1"/>
    <col min="5114" max="5114" width="4.140625" style="74" bestFit="1" customWidth="1"/>
    <col min="5115" max="5115" width="3.85546875" style="74" customWidth="1"/>
    <col min="5116" max="5116" width="7.42578125" style="74" customWidth="1"/>
    <col min="5117" max="5117" width="7.28515625" style="74" customWidth="1"/>
    <col min="5118" max="5118" width="5.85546875" style="74" bestFit="1" customWidth="1"/>
    <col min="5119" max="5119" width="9.7109375" style="74" customWidth="1"/>
    <col min="5120" max="5120" width="7.7109375" style="74" customWidth="1"/>
    <col min="5121" max="5121" width="5.85546875" style="74" bestFit="1" customWidth="1"/>
    <col min="5122" max="5122" width="32" style="74" customWidth="1"/>
    <col min="5123" max="5365" width="9.140625" style="74"/>
    <col min="5366" max="5366" width="4.5703125" style="74" customWidth="1"/>
    <col min="5367" max="5367" width="13.7109375" style="74" customWidth="1"/>
    <col min="5368" max="5368" width="19" style="74" customWidth="1"/>
    <col min="5369" max="5369" width="6.42578125" style="74" customWidth="1"/>
    <col min="5370" max="5370" width="4.140625" style="74" bestFit="1" customWidth="1"/>
    <col min="5371" max="5371" width="3.85546875" style="74" customWidth="1"/>
    <col min="5372" max="5372" width="7.42578125" style="74" customWidth="1"/>
    <col min="5373" max="5373" width="7.28515625" style="74" customWidth="1"/>
    <col min="5374" max="5374" width="5.85546875" style="74" bestFit="1" customWidth="1"/>
    <col min="5375" max="5375" width="9.7109375" style="74" customWidth="1"/>
    <col min="5376" max="5376" width="7.7109375" style="74" customWidth="1"/>
    <col min="5377" max="5377" width="5.85546875" style="74" bestFit="1" customWidth="1"/>
    <col min="5378" max="5378" width="32" style="74" customWidth="1"/>
    <col min="5379" max="5621" width="9.140625" style="74"/>
    <col min="5622" max="5622" width="4.5703125" style="74" customWidth="1"/>
    <col min="5623" max="5623" width="13.7109375" style="74" customWidth="1"/>
    <col min="5624" max="5624" width="19" style="74" customWidth="1"/>
    <col min="5625" max="5625" width="6.42578125" style="74" customWidth="1"/>
    <col min="5626" max="5626" width="4.140625" style="74" bestFit="1" customWidth="1"/>
    <col min="5627" max="5627" width="3.85546875" style="74" customWidth="1"/>
    <col min="5628" max="5628" width="7.42578125" style="74" customWidth="1"/>
    <col min="5629" max="5629" width="7.28515625" style="74" customWidth="1"/>
    <col min="5630" max="5630" width="5.85546875" style="74" bestFit="1" customWidth="1"/>
    <col min="5631" max="5631" width="9.7109375" style="74" customWidth="1"/>
    <col min="5632" max="5632" width="7.7109375" style="74" customWidth="1"/>
    <col min="5633" max="5633" width="5.85546875" style="74" bestFit="1" customWidth="1"/>
    <col min="5634" max="5634" width="32" style="74" customWidth="1"/>
    <col min="5635" max="5877" width="9.140625" style="74"/>
    <col min="5878" max="5878" width="4.5703125" style="74" customWidth="1"/>
    <col min="5879" max="5879" width="13.7109375" style="74" customWidth="1"/>
    <col min="5880" max="5880" width="19" style="74" customWidth="1"/>
    <col min="5881" max="5881" width="6.42578125" style="74" customWidth="1"/>
    <col min="5882" max="5882" width="4.140625" style="74" bestFit="1" customWidth="1"/>
    <col min="5883" max="5883" width="3.85546875" style="74" customWidth="1"/>
    <col min="5884" max="5884" width="7.42578125" style="74" customWidth="1"/>
    <col min="5885" max="5885" width="7.28515625" style="74" customWidth="1"/>
    <col min="5886" max="5886" width="5.85546875" style="74" bestFit="1" customWidth="1"/>
    <col min="5887" max="5887" width="9.7109375" style="74" customWidth="1"/>
    <col min="5888" max="5888" width="7.7109375" style="74" customWidth="1"/>
    <col min="5889" max="5889" width="5.85546875" style="74" bestFit="1" customWidth="1"/>
    <col min="5890" max="5890" width="32" style="74" customWidth="1"/>
    <col min="5891" max="6133" width="9.140625" style="74"/>
    <col min="6134" max="6134" width="4.5703125" style="74" customWidth="1"/>
    <col min="6135" max="6135" width="13.7109375" style="74" customWidth="1"/>
    <col min="6136" max="6136" width="19" style="74" customWidth="1"/>
    <col min="6137" max="6137" width="6.42578125" style="74" customWidth="1"/>
    <col min="6138" max="6138" width="4.140625" style="74" bestFit="1" customWidth="1"/>
    <col min="6139" max="6139" width="3.85546875" style="74" customWidth="1"/>
    <col min="6140" max="6140" width="7.42578125" style="74" customWidth="1"/>
    <col min="6141" max="6141" width="7.28515625" style="74" customWidth="1"/>
    <col min="6142" max="6142" width="5.85546875" style="74" bestFit="1" customWidth="1"/>
    <col min="6143" max="6143" width="9.7109375" style="74" customWidth="1"/>
    <col min="6144" max="6144" width="7.7109375" style="74" customWidth="1"/>
    <col min="6145" max="6145" width="5.85546875" style="74" bestFit="1" customWidth="1"/>
    <col min="6146" max="6146" width="32" style="74" customWidth="1"/>
    <col min="6147" max="6389" width="9.140625" style="74"/>
    <col min="6390" max="6390" width="4.5703125" style="74" customWidth="1"/>
    <col min="6391" max="6391" width="13.7109375" style="74" customWidth="1"/>
    <col min="6392" max="6392" width="19" style="74" customWidth="1"/>
    <col min="6393" max="6393" width="6.42578125" style="74" customWidth="1"/>
    <col min="6394" max="6394" width="4.140625" style="74" bestFit="1" customWidth="1"/>
    <col min="6395" max="6395" width="3.85546875" style="74" customWidth="1"/>
    <col min="6396" max="6396" width="7.42578125" style="74" customWidth="1"/>
    <col min="6397" max="6397" width="7.28515625" style="74" customWidth="1"/>
    <col min="6398" max="6398" width="5.85546875" style="74" bestFit="1" customWidth="1"/>
    <col min="6399" max="6399" width="9.7109375" style="74" customWidth="1"/>
    <col min="6400" max="6400" width="7.7109375" style="74" customWidth="1"/>
    <col min="6401" max="6401" width="5.85546875" style="74" bestFit="1" customWidth="1"/>
    <col min="6402" max="6402" width="32" style="74" customWidth="1"/>
    <col min="6403" max="6645" width="9.140625" style="74"/>
    <col min="6646" max="6646" width="4.5703125" style="74" customWidth="1"/>
    <col min="6647" max="6647" width="13.7109375" style="74" customWidth="1"/>
    <col min="6648" max="6648" width="19" style="74" customWidth="1"/>
    <col min="6649" max="6649" width="6.42578125" style="74" customWidth="1"/>
    <col min="6650" max="6650" width="4.140625" style="74" bestFit="1" customWidth="1"/>
    <col min="6651" max="6651" width="3.85546875" style="74" customWidth="1"/>
    <col min="6652" max="6652" width="7.42578125" style="74" customWidth="1"/>
    <col min="6653" max="6653" width="7.28515625" style="74" customWidth="1"/>
    <col min="6654" max="6654" width="5.85546875" style="74" bestFit="1" customWidth="1"/>
    <col min="6655" max="6655" width="9.7109375" style="74" customWidth="1"/>
    <col min="6656" max="6656" width="7.7109375" style="74" customWidth="1"/>
    <col min="6657" max="6657" width="5.85546875" style="74" bestFit="1" customWidth="1"/>
    <col min="6658" max="6658" width="32" style="74" customWidth="1"/>
    <col min="6659" max="6901" width="9.140625" style="74"/>
    <col min="6902" max="6902" width="4.5703125" style="74" customWidth="1"/>
    <col min="6903" max="6903" width="13.7109375" style="74" customWidth="1"/>
    <col min="6904" max="6904" width="19" style="74" customWidth="1"/>
    <col min="6905" max="6905" width="6.42578125" style="74" customWidth="1"/>
    <col min="6906" max="6906" width="4.140625" style="74" bestFit="1" customWidth="1"/>
    <col min="6907" max="6907" width="3.85546875" style="74" customWidth="1"/>
    <col min="6908" max="6908" width="7.42578125" style="74" customWidth="1"/>
    <col min="6909" max="6909" width="7.28515625" style="74" customWidth="1"/>
    <col min="6910" max="6910" width="5.85546875" style="74" bestFit="1" customWidth="1"/>
    <col min="6911" max="6911" width="9.7109375" style="74" customWidth="1"/>
    <col min="6912" max="6912" width="7.7109375" style="74" customWidth="1"/>
    <col min="6913" max="6913" width="5.85546875" style="74" bestFit="1" customWidth="1"/>
    <col min="6914" max="6914" width="32" style="74" customWidth="1"/>
    <col min="6915" max="7157" width="9.140625" style="74"/>
    <col min="7158" max="7158" width="4.5703125" style="74" customWidth="1"/>
    <col min="7159" max="7159" width="13.7109375" style="74" customWidth="1"/>
    <col min="7160" max="7160" width="19" style="74" customWidth="1"/>
    <col min="7161" max="7161" width="6.42578125" style="74" customWidth="1"/>
    <col min="7162" max="7162" width="4.140625" style="74" bestFit="1" customWidth="1"/>
    <col min="7163" max="7163" width="3.85546875" style="74" customWidth="1"/>
    <col min="7164" max="7164" width="7.42578125" style="74" customWidth="1"/>
    <col min="7165" max="7165" width="7.28515625" style="74" customWidth="1"/>
    <col min="7166" max="7166" width="5.85546875" style="74" bestFit="1" customWidth="1"/>
    <col min="7167" max="7167" width="9.7109375" style="74" customWidth="1"/>
    <col min="7168" max="7168" width="7.7109375" style="74" customWidth="1"/>
    <col min="7169" max="7169" width="5.85546875" style="74" bestFit="1" customWidth="1"/>
    <col min="7170" max="7170" width="32" style="74" customWidth="1"/>
    <col min="7171" max="7413" width="9.140625" style="74"/>
    <col min="7414" max="7414" width="4.5703125" style="74" customWidth="1"/>
    <col min="7415" max="7415" width="13.7109375" style="74" customWidth="1"/>
    <col min="7416" max="7416" width="19" style="74" customWidth="1"/>
    <col min="7417" max="7417" width="6.42578125" style="74" customWidth="1"/>
    <col min="7418" max="7418" width="4.140625" style="74" bestFit="1" customWidth="1"/>
    <col min="7419" max="7419" width="3.85546875" style="74" customWidth="1"/>
    <col min="7420" max="7420" width="7.42578125" style="74" customWidth="1"/>
    <col min="7421" max="7421" width="7.28515625" style="74" customWidth="1"/>
    <col min="7422" max="7422" width="5.85546875" style="74" bestFit="1" customWidth="1"/>
    <col min="7423" max="7423" width="9.7109375" style="74" customWidth="1"/>
    <col min="7424" max="7424" width="7.7109375" style="74" customWidth="1"/>
    <col min="7425" max="7425" width="5.85546875" style="74" bestFit="1" customWidth="1"/>
    <col min="7426" max="7426" width="32" style="74" customWidth="1"/>
    <col min="7427" max="7669" width="9.140625" style="74"/>
    <col min="7670" max="7670" width="4.5703125" style="74" customWidth="1"/>
    <col min="7671" max="7671" width="13.7109375" style="74" customWidth="1"/>
    <col min="7672" max="7672" width="19" style="74" customWidth="1"/>
    <col min="7673" max="7673" width="6.42578125" style="74" customWidth="1"/>
    <col min="7674" max="7674" width="4.140625" style="74" bestFit="1" customWidth="1"/>
    <col min="7675" max="7675" width="3.85546875" style="74" customWidth="1"/>
    <col min="7676" max="7676" width="7.42578125" style="74" customWidth="1"/>
    <col min="7677" max="7677" width="7.28515625" style="74" customWidth="1"/>
    <col min="7678" max="7678" width="5.85546875" style="74" bestFit="1" customWidth="1"/>
    <col min="7679" max="7679" width="9.7109375" style="74" customWidth="1"/>
    <col min="7680" max="7680" width="7.7109375" style="74" customWidth="1"/>
    <col min="7681" max="7681" width="5.85546875" style="74" bestFit="1" customWidth="1"/>
    <col min="7682" max="7682" width="32" style="74" customWidth="1"/>
    <col min="7683" max="7925" width="9.140625" style="74"/>
    <col min="7926" max="7926" width="4.5703125" style="74" customWidth="1"/>
    <col min="7927" max="7927" width="13.7109375" style="74" customWidth="1"/>
    <col min="7928" max="7928" width="19" style="74" customWidth="1"/>
    <col min="7929" max="7929" width="6.42578125" style="74" customWidth="1"/>
    <col min="7930" max="7930" width="4.140625" style="74" bestFit="1" customWidth="1"/>
    <col min="7931" max="7931" width="3.85546875" style="74" customWidth="1"/>
    <col min="7932" max="7932" width="7.42578125" style="74" customWidth="1"/>
    <col min="7933" max="7933" width="7.28515625" style="74" customWidth="1"/>
    <col min="7934" max="7934" width="5.85546875" style="74" bestFit="1" customWidth="1"/>
    <col min="7935" max="7935" width="9.7109375" style="74" customWidth="1"/>
    <col min="7936" max="7936" width="7.7109375" style="74" customWidth="1"/>
    <col min="7937" max="7937" width="5.85546875" style="74" bestFit="1" customWidth="1"/>
    <col min="7938" max="7938" width="32" style="74" customWidth="1"/>
    <col min="7939" max="8181" width="9.140625" style="74"/>
    <col min="8182" max="8182" width="4.5703125" style="74" customWidth="1"/>
    <col min="8183" max="8183" width="13.7109375" style="74" customWidth="1"/>
    <col min="8184" max="8184" width="19" style="74" customWidth="1"/>
    <col min="8185" max="8185" width="6.42578125" style="74" customWidth="1"/>
    <col min="8186" max="8186" width="4.140625" style="74" bestFit="1" customWidth="1"/>
    <col min="8187" max="8187" width="3.85546875" style="74" customWidth="1"/>
    <col min="8188" max="8188" width="7.42578125" style="74" customWidth="1"/>
    <col min="8189" max="8189" width="7.28515625" style="74" customWidth="1"/>
    <col min="8190" max="8190" width="5.85546875" style="74" bestFit="1" customWidth="1"/>
    <col min="8191" max="8191" width="9.7109375" style="74" customWidth="1"/>
    <col min="8192" max="8192" width="7.7109375" style="74" customWidth="1"/>
    <col min="8193" max="8193" width="5.85546875" style="74" bestFit="1" customWidth="1"/>
    <col min="8194" max="8194" width="32" style="74" customWidth="1"/>
    <col min="8195" max="8437" width="9.140625" style="74"/>
    <col min="8438" max="8438" width="4.5703125" style="74" customWidth="1"/>
    <col min="8439" max="8439" width="13.7109375" style="74" customWidth="1"/>
    <col min="8440" max="8440" width="19" style="74" customWidth="1"/>
    <col min="8441" max="8441" width="6.42578125" style="74" customWidth="1"/>
    <col min="8442" max="8442" width="4.140625" style="74" bestFit="1" customWidth="1"/>
    <col min="8443" max="8443" width="3.85546875" style="74" customWidth="1"/>
    <col min="8444" max="8444" width="7.42578125" style="74" customWidth="1"/>
    <col min="8445" max="8445" width="7.28515625" style="74" customWidth="1"/>
    <col min="8446" max="8446" width="5.85546875" style="74" bestFit="1" customWidth="1"/>
    <col min="8447" max="8447" width="9.7109375" style="74" customWidth="1"/>
    <col min="8448" max="8448" width="7.7109375" style="74" customWidth="1"/>
    <col min="8449" max="8449" width="5.85546875" style="74" bestFit="1" customWidth="1"/>
    <col min="8450" max="8450" width="32" style="74" customWidth="1"/>
    <col min="8451" max="8693" width="9.140625" style="74"/>
    <col min="8694" max="8694" width="4.5703125" style="74" customWidth="1"/>
    <col min="8695" max="8695" width="13.7109375" style="74" customWidth="1"/>
    <col min="8696" max="8696" width="19" style="74" customWidth="1"/>
    <col min="8697" max="8697" width="6.42578125" style="74" customWidth="1"/>
    <col min="8698" max="8698" width="4.140625" style="74" bestFit="1" customWidth="1"/>
    <col min="8699" max="8699" width="3.85546875" style="74" customWidth="1"/>
    <col min="8700" max="8700" width="7.42578125" style="74" customWidth="1"/>
    <col min="8701" max="8701" width="7.28515625" style="74" customWidth="1"/>
    <col min="8702" max="8702" width="5.85546875" style="74" bestFit="1" customWidth="1"/>
    <col min="8703" max="8703" width="9.7109375" style="74" customWidth="1"/>
    <col min="8704" max="8704" width="7.7109375" style="74" customWidth="1"/>
    <col min="8705" max="8705" width="5.85546875" style="74" bestFit="1" customWidth="1"/>
    <col min="8706" max="8706" width="32" style="74" customWidth="1"/>
    <col min="8707" max="8949" width="9.140625" style="74"/>
    <col min="8950" max="8950" width="4.5703125" style="74" customWidth="1"/>
    <col min="8951" max="8951" width="13.7109375" style="74" customWidth="1"/>
    <col min="8952" max="8952" width="19" style="74" customWidth="1"/>
    <col min="8953" max="8953" width="6.42578125" style="74" customWidth="1"/>
    <col min="8954" max="8954" width="4.140625" style="74" bestFit="1" customWidth="1"/>
    <col min="8955" max="8955" width="3.85546875" style="74" customWidth="1"/>
    <col min="8956" max="8956" width="7.42578125" style="74" customWidth="1"/>
    <col min="8957" max="8957" width="7.28515625" style="74" customWidth="1"/>
    <col min="8958" max="8958" width="5.85546875" style="74" bestFit="1" customWidth="1"/>
    <col min="8959" max="8959" width="9.7109375" style="74" customWidth="1"/>
    <col min="8960" max="8960" width="7.7109375" style="74" customWidth="1"/>
    <col min="8961" max="8961" width="5.85546875" style="74" bestFit="1" customWidth="1"/>
    <col min="8962" max="8962" width="32" style="74" customWidth="1"/>
    <col min="8963" max="9205" width="9.140625" style="74"/>
    <col min="9206" max="9206" width="4.5703125" style="74" customWidth="1"/>
    <col min="9207" max="9207" width="13.7109375" style="74" customWidth="1"/>
    <col min="9208" max="9208" width="19" style="74" customWidth="1"/>
    <col min="9209" max="9209" width="6.42578125" style="74" customWidth="1"/>
    <col min="9210" max="9210" width="4.140625" style="74" bestFit="1" customWidth="1"/>
    <col min="9211" max="9211" width="3.85546875" style="74" customWidth="1"/>
    <col min="9212" max="9212" width="7.42578125" style="74" customWidth="1"/>
    <col min="9213" max="9213" width="7.28515625" style="74" customWidth="1"/>
    <col min="9214" max="9214" width="5.85546875" style="74" bestFit="1" customWidth="1"/>
    <col min="9215" max="9215" width="9.7109375" style="74" customWidth="1"/>
    <col min="9216" max="9216" width="7.7109375" style="74" customWidth="1"/>
    <col min="9217" max="9217" width="5.85546875" style="74" bestFit="1" customWidth="1"/>
    <col min="9218" max="9218" width="32" style="74" customWidth="1"/>
    <col min="9219" max="9461" width="9.140625" style="74"/>
    <col min="9462" max="9462" width="4.5703125" style="74" customWidth="1"/>
    <col min="9463" max="9463" width="13.7109375" style="74" customWidth="1"/>
    <col min="9464" max="9464" width="19" style="74" customWidth="1"/>
    <col min="9465" max="9465" width="6.42578125" style="74" customWidth="1"/>
    <col min="9466" max="9466" width="4.140625" style="74" bestFit="1" customWidth="1"/>
    <col min="9467" max="9467" width="3.85546875" style="74" customWidth="1"/>
    <col min="9468" max="9468" width="7.42578125" style="74" customWidth="1"/>
    <col min="9469" max="9469" width="7.28515625" style="74" customWidth="1"/>
    <col min="9470" max="9470" width="5.85546875" style="74" bestFit="1" customWidth="1"/>
    <col min="9471" max="9471" width="9.7109375" style="74" customWidth="1"/>
    <col min="9472" max="9472" width="7.7109375" style="74" customWidth="1"/>
    <col min="9473" max="9473" width="5.85546875" style="74" bestFit="1" customWidth="1"/>
    <col min="9474" max="9474" width="32" style="74" customWidth="1"/>
    <col min="9475" max="9717" width="9.140625" style="74"/>
    <col min="9718" max="9718" width="4.5703125" style="74" customWidth="1"/>
    <col min="9719" max="9719" width="13.7109375" style="74" customWidth="1"/>
    <col min="9720" max="9720" width="19" style="74" customWidth="1"/>
    <col min="9721" max="9721" width="6.42578125" style="74" customWidth="1"/>
    <col min="9722" max="9722" width="4.140625" style="74" bestFit="1" customWidth="1"/>
    <col min="9723" max="9723" width="3.85546875" style="74" customWidth="1"/>
    <col min="9724" max="9724" width="7.42578125" style="74" customWidth="1"/>
    <col min="9725" max="9725" width="7.28515625" style="74" customWidth="1"/>
    <col min="9726" max="9726" width="5.85546875" style="74" bestFit="1" customWidth="1"/>
    <col min="9727" max="9727" width="9.7109375" style="74" customWidth="1"/>
    <col min="9728" max="9728" width="7.7109375" style="74" customWidth="1"/>
    <col min="9729" max="9729" width="5.85546875" style="74" bestFit="1" customWidth="1"/>
    <col min="9730" max="9730" width="32" style="74" customWidth="1"/>
    <col min="9731" max="9973" width="9.140625" style="74"/>
    <col min="9974" max="9974" width="4.5703125" style="74" customWidth="1"/>
    <col min="9975" max="9975" width="13.7109375" style="74" customWidth="1"/>
    <col min="9976" max="9976" width="19" style="74" customWidth="1"/>
    <col min="9977" max="9977" width="6.42578125" style="74" customWidth="1"/>
    <col min="9978" max="9978" width="4.140625" style="74" bestFit="1" customWidth="1"/>
    <col min="9979" max="9979" width="3.85546875" style="74" customWidth="1"/>
    <col min="9980" max="9980" width="7.42578125" style="74" customWidth="1"/>
    <col min="9981" max="9981" width="7.28515625" style="74" customWidth="1"/>
    <col min="9982" max="9982" width="5.85546875" style="74" bestFit="1" customWidth="1"/>
    <col min="9983" max="9983" width="9.7109375" style="74" customWidth="1"/>
    <col min="9984" max="9984" width="7.7109375" style="74" customWidth="1"/>
    <col min="9985" max="9985" width="5.85546875" style="74" bestFit="1" customWidth="1"/>
    <col min="9986" max="9986" width="32" style="74" customWidth="1"/>
    <col min="9987" max="10229" width="9.140625" style="74"/>
    <col min="10230" max="10230" width="4.5703125" style="74" customWidth="1"/>
    <col min="10231" max="10231" width="13.7109375" style="74" customWidth="1"/>
    <col min="10232" max="10232" width="19" style="74" customWidth="1"/>
    <col min="10233" max="10233" width="6.42578125" style="74" customWidth="1"/>
    <col min="10234" max="10234" width="4.140625" style="74" bestFit="1" customWidth="1"/>
    <col min="10235" max="10235" width="3.85546875" style="74" customWidth="1"/>
    <col min="10236" max="10236" width="7.42578125" style="74" customWidth="1"/>
    <col min="10237" max="10237" width="7.28515625" style="74" customWidth="1"/>
    <col min="10238" max="10238" width="5.85546875" style="74" bestFit="1" customWidth="1"/>
    <col min="10239" max="10239" width="9.7109375" style="74" customWidth="1"/>
    <col min="10240" max="10240" width="7.7109375" style="74" customWidth="1"/>
    <col min="10241" max="10241" width="5.85546875" style="74" bestFit="1" customWidth="1"/>
    <col min="10242" max="10242" width="32" style="74" customWidth="1"/>
    <col min="10243" max="10485" width="9.140625" style="74"/>
    <col min="10486" max="10486" width="4.5703125" style="74" customWidth="1"/>
    <col min="10487" max="10487" width="13.7109375" style="74" customWidth="1"/>
    <col min="10488" max="10488" width="19" style="74" customWidth="1"/>
    <col min="10489" max="10489" width="6.42578125" style="74" customWidth="1"/>
    <col min="10490" max="10490" width="4.140625" style="74" bestFit="1" customWidth="1"/>
    <col min="10491" max="10491" width="3.85546875" style="74" customWidth="1"/>
    <col min="10492" max="10492" width="7.42578125" style="74" customWidth="1"/>
    <col min="10493" max="10493" width="7.28515625" style="74" customWidth="1"/>
    <col min="10494" max="10494" width="5.85546875" style="74" bestFit="1" customWidth="1"/>
    <col min="10495" max="10495" width="9.7109375" style="74" customWidth="1"/>
    <col min="10496" max="10496" width="7.7109375" style="74" customWidth="1"/>
    <col min="10497" max="10497" width="5.85546875" style="74" bestFit="1" customWidth="1"/>
    <col min="10498" max="10498" width="32" style="74" customWidth="1"/>
    <col min="10499" max="10741" width="9.140625" style="74"/>
    <col min="10742" max="10742" width="4.5703125" style="74" customWidth="1"/>
    <col min="10743" max="10743" width="13.7109375" style="74" customWidth="1"/>
    <col min="10744" max="10744" width="19" style="74" customWidth="1"/>
    <col min="10745" max="10745" width="6.42578125" style="74" customWidth="1"/>
    <col min="10746" max="10746" width="4.140625" style="74" bestFit="1" customWidth="1"/>
    <col min="10747" max="10747" width="3.85546875" style="74" customWidth="1"/>
    <col min="10748" max="10748" width="7.42578125" style="74" customWidth="1"/>
    <col min="10749" max="10749" width="7.28515625" style="74" customWidth="1"/>
    <col min="10750" max="10750" width="5.85546875" style="74" bestFit="1" customWidth="1"/>
    <col min="10751" max="10751" width="9.7109375" style="74" customWidth="1"/>
    <col min="10752" max="10752" width="7.7109375" style="74" customWidth="1"/>
    <col min="10753" max="10753" width="5.85546875" style="74" bestFit="1" customWidth="1"/>
    <col min="10754" max="10754" width="32" style="74" customWidth="1"/>
    <col min="10755" max="10997" width="9.140625" style="74"/>
    <col min="10998" max="10998" width="4.5703125" style="74" customWidth="1"/>
    <col min="10999" max="10999" width="13.7109375" style="74" customWidth="1"/>
    <col min="11000" max="11000" width="19" style="74" customWidth="1"/>
    <col min="11001" max="11001" width="6.42578125" style="74" customWidth="1"/>
    <col min="11002" max="11002" width="4.140625" style="74" bestFit="1" customWidth="1"/>
    <col min="11003" max="11003" width="3.85546875" style="74" customWidth="1"/>
    <col min="11004" max="11004" width="7.42578125" style="74" customWidth="1"/>
    <col min="11005" max="11005" width="7.28515625" style="74" customWidth="1"/>
    <col min="11006" max="11006" width="5.85546875" style="74" bestFit="1" customWidth="1"/>
    <col min="11007" max="11007" width="9.7109375" style="74" customWidth="1"/>
    <col min="11008" max="11008" width="7.7109375" style="74" customWidth="1"/>
    <col min="11009" max="11009" width="5.85546875" style="74" bestFit="1" customWidth="1"/>
    <col min="11010" max="11010" width="32" style="74" customWidth="1"/>
    <col min="11011" max="11253" width="9.140625" style="74"/>
    <col min="11254" max="11254" width="4.5703125" style="74" customWidth="1"/>
    <col min="11255" max="11255" width="13.7109375" style="74" customWidth="1"/>
    <col min="11256" max="11256" width="19" style="74" customWidth="1"/>
    <col min="11257" max="11257" width="6.42578125" style="74" customWidth="1"/>
    <col min="11258" max="11258" width="4.140625" style="74" bestFit="1" customWidth="1"/>
    <col min="11259" max="11259" width="3.85546875" style="74" customWidth="1"/>
    <col min="11260" max="11260" width="7.42578125" style="74" customWidth="1"/>
    <col min="11261" max="11261" width="7.28515625" style="74" customWidth="1"/>
    <col min="11262" max="11262" width="5.85546875" style="74" bestFit="1" customWidth="1"/>
    <col min="11263" max="11263" width="9.7109375" style="74" customWidth="1"/>
    <col min="11264" max="11264" width="7.7109375" style="74" customWidth="1"/>
    <col min="11265" max="11265" width="5.85546875" style="74" bestFit="1" customWidth="1"/>
    <col min="11266" max="11266" width="32" style="74" customWidth="1"/>
    <col min="11267" max="11509" width="9.140625" style="74"/>
    <col min="11510" max="11510" width="4.5703125" style="74" customWidth="1"/>
    <col min="11511" max="11511" width="13.7109375" style="74" customWidth="1"/>
    <col min="11512" max="11512" width="19" style="74" customWidth="1"/>
    <col min="11513" max="11513" width="6.42578125" style="74" customWidth="1"/>
    <col min="11514" max="11514" width="4.140625" style="74" bestFit="1" customWidth="1"/>
    <col min="11515" max="11515" width="3.85546875" style="74" customWidth="1"/>
    <col min="11516" max="11516" width="7.42578125" style="74" customWidth="1"/>
    <col min="11517" max="11517" width="7.28515625" style="74" customWidth="1"/>
    <col min="11518" max="11518" width="5.85546875" style="74" bestFit="1" customWidth="1"/>
    <col min="11519" max="11519" width="9.7109375" style="74" customWidth="1"/>
    <col min="11520" max="11520" width="7.7109375" style="74" customWidth="1"/>
    <col min="11521" max="11521" width="5.85546875" style="74" bestFit="1" customWidth="1"/>
    <col min="11522" max="11522" width="32" style="74" customWidth="1"/>
    <col min="11523" max="11765" width="9.140625" style="74"/>
    <col min="11766" max="11766" width="4.5703125" style="74" customWidth="1"/>
    <col min="11767" max="11767" width="13.7109375" style="74" customWidth="1"/>
    <col min="11768" max="11768" width="19" style="74" customWidth="1"/>
    <col min="11769" max="11769" width="6.42578125" style="74" customWidth="1"/>
    <col min="11770" max="11770" width="4.140625" style="74" bestFit="1" customWidth="1"/>
    <col min="11771" max="11771" width="3.85546875" style="74" customWidth="1"/>
    <col min="11772" max="11772" width="7.42578125" style="74" customWidth="1"/>
    <col min="11773" max="11773" width="7.28515625" style="74" customWidth="1"/>
    <col min="11774" max="11774" width="5.85546875" style="74" bestFit="1" customWidth="1"/>
    <col min="11775" max="11775" width="9.7109375" style="74" customWidth="1"/>
    <col min="11776" max="11776" width="7.7109375" style="74" customWidth="1"/>
    <col min="11777" max="11777" width="5.85546875" style="74" bestFit="1" customWidth="1"/>
    <col min="11778" max="11778" width="32" style="74" customWidth="1"/>
    <col min="11779" max="12021" width="9.140625" style="74"/>
    <col min="12022" max="12022" width="4.5703125" style="74" customWidth="1"/>
    <col min="12023" max="12023" width="13.7109375" style="74" customWidth="1"/>
    <col min="12024" max="12024" width="19" style="74" customWidth="1"/>
    <col min="12025" max="12025" width="6.42578125" style="74" customWidth="1"/>
    <col min="12026" max="12026" width="4.140625" style="74" bestFit="1" customWidth="1"/>
    <col min="12027" max="12027" width="3.85546875" style="74" customWidth="1"/>
    <col min="12028" max="12028" width="7.42578125" style="74" customWidth="1"/>
    <col min="12029" max="12029" width="7.28515625" style="74" customWidth="1"/>
    <col min="12030" max="12030" width="5.85546875" style="74" bestFit="1" customWidth="1"/>
    <col min="12031" max="12031" width="9.7109375" style="74" customWidth="1"/>
    <col min="12032" max="12032" width="7.7109375" style="74" customWidth="1"/>
    <col min="12033" max="12033" width="5.85546875" style="74" bestFit="1" customWidth="1"/>
    <col min="12034" max="12034" width="32" style="74" customWidth="1"/>
    <col min="12035" max="12277" width="9.140625" style="74"/>
    <col min="12278" max="12278" width="4.5703125" style="74" customWidth="1"/>
    <col min="12279" max="12279" width="13.7109375" style="74" customWidth="1"/>
    <col min="12280" max="12280" width="19" style="74" customWidth="1"/>
    <col min="12281" max="12281" width="6.42578125" style="74" customWidth="1"/>
    <col min="12282" max="12282" width="4.140625" style="74" bestFit="1" customWidth="1"/>
    <col min="12283" max="12283" width="3.85546875" style="74" customWidth="1"/>
    <col min="12284" max="12284" width="7.42578125" style="74" customWidth="1"/>
    <col min="12285" max="12285" width="7.28515625" style="74" customWidth="1"/>
    <col min="12286" max="12286" width="5.85546875" style="74" bestFit="1" customWidth="1"/>
    <col min="12287" max="12287" width="9.7109375" style="74" customWidth="1"/>
    <col min="12288" max="12288" width="7.7109375" style="74" customWidth="1"/>
    <col min="12289" max="12289" width="5.85546875" style="74" bestFit="1" customWidth="1"/>
    <col min="12290" max="12290" width="32" style="74" customWidth="1"/>
    <col min="12291" max="12533" width="9.140625" style="74"/>
    <col min="12534" max="12534" width="4.5703125" style="74" customWidth="1"/>
    <col min="12535" max="12535" width="13.7109375" style="74" customWidth="1"/>
    <col min="12536" max="12536" width="19" style="74" customWidth="1"/>
    <col min="12537" max="12537" width="6.42578125" style="74" customWidth="1"/>
    <col min="12538" max="12538" width="4.140625" style="74" bestFit="1" customWidth="1"/>
    <col min="12539" max="12539" width="3.85546875" style="74" customWidth="1"/>
    <col min="12540" max="12540" width="7.42578125" style="74" customWidth="1"/>
    <col min="12541" max="12541" width="7.28515625" style="74" customWidth="1"/>
    <col min="12542" max="12542" width="5.85546875" style="74" bestFit="1" customWidth="1"/>
    <col min="12543" max="12543" width="9.7109375" style="74" customWidth="1"/>
    <col min="12544" max="12544" width="7.7109375" style="74" customWidth="1"/>
    <col min="12545" max="12545" width="5.85546875" style="74" bestFit="1" customWidth="1"/>
    <col min="12546" max="12546" width="32" style="74" customWidth="1"/>
    <col min="12547" max="12789" width="9.140625" style="74"/>
    <col min="12790" max="12790" width="4.5703125" style="74" customWidth="1"/>
    <col min="12791" max="12791" width="13.7109375" style="74" customWidth="1"/>
    <col min="12792" max="12792" width="19" style="74" customWidth="1"/>
    <col min="12793" max="12793" width="6.42578125" style="74" customWidth="1"/>
    <col min="12794" max="12794" width="4.140625" style="74" bestFit="1" customWidth="1"/>
    <col min="12795" max="12795" width="3.85546875" style="74" customWidth="1"/>
    <col min="12796" max="12796" width="7.42578125" style="74" customWidth="1"/>
    <col min="12797" max="12797" width="7.28515625" style="74" customWidth="1"/>
    <col min="12798" max="12798" width="5.85546875" style="74" bestFit="1" customWidth="1"/>
    <col min="12799" max="12799" width="9.7109375" style="74" customWidth="1"/>
    <col min="12800" max="12800" width="7.7109375" style="74" customWidth="1"/>
    <col min="12801" max="12801" width="5.85546875" style="74" bestFit="1" customWidth="1"/>
    <col min="12802" max="12802" width="32" style="74" customWidth="1"/>
    <col min="12803" max="13045" width="9.140625" style="74"/>
    <col min="13046" max="13046" width="4.5703125" style="74" customWidth="1"/>
    <col min="13047" max="13047" width="13.7109375" style="74" customWidth="1"/>
    <col min="13048" max="13048" width="19" style="74" customWidth="1"/>
    <col min="13049" max="13049" width="6.42578125" style="74" customWidth="1"/>
    <col min="13050" max="13050" width="4.140625" style="74" bestFit="1" customWidth="1"/>
    <col min="13051" max="13051" width="3.85546875" style="74" customWidth="1"/>
    <col min="13052" max="13052" width="7.42578125" style="74" customWidth="1"/>
    <col min="13053" max="13053" width="7.28515625" style="74" customWidth="1"/>
    <col min="13054" max="13054" width="5.85546875" style="74" bestFit="1" customWidth="1"/>
    <col min="13055" max="13055" width="9.7109375" style="74" customWidth="1"/>
    <col min="13056" max="13056" width="7.7109375" style="74" customWidth="1"/>
    <col min="13057" max="13057" width="5.85546875" style="74" bestFit="1" customWidth="1"/>
    <col min="13058" max="13058" width="32" style="74" customWidth="1"/>
    <col min="13059" max="13301" width="9.140625" style="74"/>
    <col min="13302" max="13302" width="4.5703125" style="74" customWidth="1"/>
    <col min="13303" max="13303" width="13.7109375" style="74" customWidth="1"/>
    <col min="13304" max="13304" width="19" style="74" customWidth="1"/>
    <col min="13305" max="13305" width="6.42578125" style="74" customWidth="1"/>
    <col min="13306" max="13306" width="4.140625" style="74" bestFit="1" customWidth="1"/>
    <col min="13307" max="13307" width="3.85546875" style="74" customWidth="1"/>
    <col min="13308" max="13308" width="7.42578125" style="74" customWidth="1"/>
    <col min="13309" max="13309" width="7.28515625" style="74" customWidth="1"/>
    <col min="13310" max="13310" width="5.85546875" style="74" bestFit="1" customWidth="1"/>
    <col min="13311" max="13311" width="9.7109375" style="74" customWidth="1"/>
    <col min="13312" max="13312" width="7.7109375" style="74" customWidth="1"/>
    <col min="13313" max="13313" width="5.85546875" style="74" bestFit="1" customWidth="1"/>
    <col min="13314" max="13314" width="32" style="74" customWidth="1"/>
    <col min="13315" max="13557" width="9.140625" style="74"/>
    <col min="13558" max="13558" width="4.5703125" style="74" customWidth="1"/>
    <col min="13559" max="13559" width="13.7109375" style="74" customWidth="1"/>
    <col min="13560" max="13560" width="19" style="74" customWidth="1"/>
    <col min="13561" max="13561" width="6.42578125" style="74" customWidth="1"/>
    <col min="13562" max="13562" width="4.140625" style="74" bestFit="1" customWidth="1"/>
    <col min="13563" max="13563" width="3.85546875" style="74" customWidth="1"/>
    <col min="13564" max="13564" width="7.42578125" style="74" customWidth="1"/>
    <col min="13565" max="13565" width="7.28515625" style="74" customWidth="1"/>
    <col min="13566" max="13566" width="5.85546875" style="74" bestFit="1" customWidth="1"/>
    <col min="13567" max="13567" width="9.7109375" style="74" customWidth="1"/>
    <col min="13568" max="13568" width="7.7109375" style="74" customWidth="1"/>
    <col min="13569" max="13569" width="5.85546875" style="74" bestFit="1" customWidth="1"/>
    <col min="13570" max="13570" width="32" style="74" customWidth="1"/>
    <col min="13571" max="13813" width="9.140625" style="74"/>
    <col min="13814" max="13814" width="4.5703125" style="74" customWidth="1"/>
    <col min="13815" max="13815" width="13.7109375" style="74" customWidth="1"/>
    <col min="13816" max="13816" width="19" style="74" customWidth="1"/>
    <col min="13817" max="13817" width="6.42578125" style="74" customWidth="1"/>
    <col min="13818" max="13818" width="4.140625" style="74" bestFit="1" customWidth="1"/>
    <col min="13819" max="13819" width="3.85546875" style="74" customWidth="1"/>
    <col min="13820" max="13820" width="7.42578125" style="74" customWidth="1"/>
    <col min="13821" max="13821" width="7.28515625" style="74" customWidth="1"/>
    <col min="13822" max="13822" width="5.85546875" style="74" bestFit="1" customWidth="1"/>
    <col min="13823" max="13823" width="9.7109375" style="74" customWidth="1"/>
    <col min="13824" max="13824" width="7.7109375" style="74" customWidth="1"/>
    <col min="13825" max="13825" width="5.85546875" style="74" bestFit="1" customWidth="1"/>
    <col min="13826" max="13826" width="32" style="74" customWidth="1"/>
    <col min="13827" max="14069" width="9.140625" style="74"/>
    <col min="14070" max="14070" width="4.5703125" style="74" customWidth="1"/>
    <col min="14071" max="14071" width="13.7109375" style="74" customWidth="1"/>
    <col min="14072" max="14072" width="19" style="74" customWidth="1"/>
    <col min="14073" max="14073" width="6.42578125" style="74" customWidth="1"/>
    <col min="14074" max="14074" width="4.140625" style="74" bestFit="1" customWidth="1"/>
    <col min="14075" max="14075" width="3.85546875" style="74" customWidth="1"/>
    <col min="14076" max="14076" width="7.42578125" style="74" customWidth="1"/>
    <col min="14077" max="14077" width="7.28515625" style="74" customWidth="1"/>
    <col min="14078" max="14078" width="5.85546875" style="74" bestFit="1" customWidth="1"/>
    <col min="14079" max="14079" width="9.7109375" style="74" customWidth="1"/>
    <col min="14080" max="14080" width="7.7109375" style="74" customWidth="1"/>
    <col min="14081" max="14081" width="5.85546875" style="74" bestFit="1" customWidth="1"/>
    <col min="14082" max="14082" width="32" style="74" customWidth="1"/>
    <col min="14083" max="14325" width="9.140625" style="74"/>
    <col min="14326" max="14326" width="4.5703125" style="74" customWidth="1"/>
    <col min="14327" max="14327" width="13.7109375" style="74" customWidth="1"/>
    <col min="14328" max="14328" width="19" style="74" customWidth="1"/>
    <col min="14329" max="14329" width="6.42578125" style="74" customWidth="1"/>
    <col min="14330" max="14330" width="4.140625" style="74" bestFit="1" customWidth="1"/>
    <col min="14331" max="14331" width="3.85546875" style="74" customWidth="1"/>
    <col min="14332" max="14332" width="7.42578125" style="74" customWidth="1"/>
    <col min="14333" max="14333" width="7.28515625" style="74" customWidth="1"/>
    <col min="14334" max="14334" width="5.85546875" style="74" bestFit="1" customWidth="1"/>
    <col min="14335" max="14335" width="9.7109375" style="74" customWidth="1"/>
    <col min="14336" max="14336" width="7.7109375" style="74" customWidth="1"/>
    <col min="14337" max="14337" width="5.85546875" style="74" bestFit="1" customWidth="1"/>
    <col min="14338" max="14338" width="32" style="74" customWidth="1"/>
    <col min="14339" max="14581" width="9.140625" style="74"/>
    <col min="14582" max="14582" width="4.5703125" style="74" customWidth="1"/>
    <col min="14583" max="14583" width="13.7109375" style="74" customWidth="1"/>
    <col min="14584" max="14584" width="19" style="74" customWidth="1"/>
    <col min="14585" max="14585" width="6.42578125" style="74" customWidth="1"/>
    <col min="14586" max="14586" width="4.140625" style="74" bestFit="1" customWidth="1"/>
    <col min="14587" max="14587" width="3.85546875" style="74" customWidth="1"/>
    <col min="14588" max="14588" width="7.42578125" style="74" customWidth="1"/>
    <col min="14589" max="14589" width="7.28515625" style="74" customWidth="1"/>
    <col min="14590" max="14590" width="5.85546875" style="74" bestFit="1" customWidth="1"/>
    <col min="14591" max="14591" width="9.7109375" style="74" customWidth="1"/>
    <col min="14592" max="14592" width="7.7109375" style="74" customWidth="1"/>
    <col min="14593" max="14593" width="5.85546875" style="74" bestFit="1" customWidth="1"/>
    <col min="14594" max="14594" width="32" style="74" customWidth="1"/>
    <col min="14595" max="14837" width="9.140625" style="74"/>
    <col min="14838" max="14838" width="4.5703125" style="74" customWidth="1"/>
    <col min="14839" max="14839" width="13.7109375" style="74" customWidth="1"/>
    <col min="14840" max="14840" width="19" style="74" customWidth="1"/>
    <col min="14841" max="14841" width="6.42578125" style="74" customWidth="1"/>
    <col min="14842" max="14842" width="4.140625" style="74" bestFit="1" customWidth="1"/>
    <col min="14843" max="14843" width="3.85546875" style="74" customWidth="1"/>
    <col min="14844" max="14844" width="7.42578125" style="74" customWidth="1"/>
    <col min="14845" max="14845" width="7.28515625" style="74" customWidth="1"/>
    <col min="14846" max="14846" width="5.85546875" style="74" bestFit="1" customWidth="1"/>
    <col min="14847" max="14847" width="9.7109375" style="74" customWidth="1"/>
    <col min="14848" max="14848" width="7.7109375" style="74" customWidth="1"/>
    <col min="14849" max="14849" width="5.85546875" style="74" bestFit="1" customWidth="1"/>
    <col min="14850" max="14850" width="32" style="74" customWidth="1"/>
    <col min="14851" max="15093" width="9.140625" style="74"/>
    <col min="15094" max="15094" width="4.5703125" style="74" customWidth="1"/>
    <col min="15095" max="15095" width="13.7109375" style="74" customWidth="1"/>
    <col min="15096" max="15096" width="19" style="74" customWidth="1"/>
    <col min="15097" max="15097" width="6.42578125" style="74" customWidth="1"/>
    <col min="15098" max="15098" width="4.140625" style="74" bestFit="1" customWidth="1"/>
    <col min="15099" max="15099" width="3.85546875" style="74" customWidth="1"/>
    <col min="15100" max="15100" width="7.42578125" style="74" customWidth="1"/>
    <col min="15101" max="15101" width="7.28515625" style="74" customWidth="1"/>
    <col min="15102" max="15102" width="5.85546875" style="74" bestFit="1" customWidth="1"/>
    <col min="15103" max="15103" width="9.7109375" style="74" customWidth="1"/>
    <col min="15104" max="15104" width="7.7109375" style="74" customWidth="1"/>
    <col min="15105" max="15105" width="5.85546875" style="74" bestFit="1" customWidth="1"/>
    <col min="15106" max="15106" width="32" style="74" customWidth="1"/>
    <col min="15107" max="15349" width="9.140625" style="74"/>
    <col min="15350" max="15350" width="4.5703125" style="74" customWidth="1"/>
    <col min="15351" max="15351" width="13.7109375" style="74" customWidth="1"/>
    <col min="15352" max="15352" width="19" style="74" customWidth="1"/>
    <col min="15353" max="15353" width="6.42578125" style="74" customWidth="1"/>
    <col min="15354" max="15354" width="4.140625" style="74" bestFit="1" customWidth="1"/>
    <col min="15355" max="15355" width="3.85546875" style="74" customWidth="1"/>
    <col min="15356" max="15356" width="7.42578125" style="74" customWidth="1"/>
    <col min="15357" max="15357" width="7.28515625" style="74" customWidth="1"/>
    <col min="15358" max="15358" width="5.85546875" style="74" bestFit="1" customWidth="1"/>
    <col min="15359" max="15359" width="9.7109375" style="74" customWidth="1"/>
    <col min="15360" max="15360" width="7.7109375" style="74" customWidth="1"/>
    <col min="15361" max="15361" width="5.85546875" style="74" bestFit="1" customWidth="1"/>
    <col min="15362" max="15362" width="32" style="74" customWidth="1"/>
    <col min="15363" max="15605" width="9.140625" style="74"/>
    <col min="15606" max="15606" width="4.5703125" style="74" customWidth="1"/>
    <col min="15607" max="15607" width="13.7109375" style="74" customWidth="1"/>
    <col min="15608" max="15608" width="19" style="74" customWidth="1"/>
    <col min="15609" max="15609" width="6.42578125" style="74" customWidth="1"/>
    <col min="15610" max="15610" width="4.140625" style="74" bestFit="1" customWidth="1"/>
    <col min="15611" max="15611" width="3.85546875" style="74" customWidth="1"/>
    <col min="15612" max="15612" width="7.42578125" style="74" customWidth="1"/>
    <col min="15613" max="15613" width="7.28515625" style="74" customWidth="1"/>
    <col min="15614" max="15614" width="5.85546875" style="74" bestFit="1" customWidth="1"/>
    <col min="15615" max="15615" width="9.7109375" style="74" customWidth="1"/>
    <col min="15616" max="15616" width="7.7109375" style="74" customWidth="1"/>
    <col min="15617" max="15617" width="5.85546875" style="74" bestFit="1" customWidth="1"/>
    <col min="15618" max="15618" width="32" style="74" customWidth="1"/>
    <col min="15619" max="15861" width="9.140625" style="74"/>
    <col min="15862" max="15862" width="4.5703125" style="74" customWidth="1"/>
    <col min="15863" max="15863" width="13.7109375" style="74" customWidth="1"/>
    <col min="15864" max="15864" width="19" style="74" customWidth="1"/>
    <col min="15865" max="15865" width="6.42578125" style="74" customWidth="1"/>
    <col min="15866" max="15866" width="4.140625" style="74" bestFit="1" customWidth="1"/>
    <col min="15867" max="15867" width="3.85546875" style="74" customWidth="1"/>
    <col min="15868" max="15868" width="7.42578125" style="74" customWidth="1"/>
    <col min="15869" max="15869" width="7.28515625" style="74" customWidth="1"/>
    <col min="15870" max="15870" width="5.85546875" style="74" bestFit="1" customWidth="1"/>
    <col min="15871" max="15871" width="9.7109375" style="74" customWidth="1"/>
    <col min="15872" max="15872" width="7.7109375" style="74" customWidth="1"/>
    <col min="15873" max="15873" width="5.85546875" style="74" bestFit="1" customWidth="1"/>
    <col min="15874" max="15874" width="32" style="74" customWidth="1"/>
    <col min="15875" max="16117" width="9.140625" style="74"/>
    <col min="16118" max="16118" width="4.5703125" style="74" customWidth="1"/>
    <col min="16119" max="16119" width="13.7109375" style="74" customWidth="1"/>
    <col min="16120" max="16120" width="19" style="74" customWidth="1"/>
    <col min="16121" max="16121" width="6.42578125" style="74" customWidth="1"/>
    <col min="16122" max="16122" width="4.140625" style="74" bestFit="1" customWidth="1"/>
    <col min="16123" max="16123" width="3.85546875" style="74" customWidth="1"/>
    <col min="16124" max="16124" width="7.42578125" style="74" customWidth="1"/>
    <col min="16125" max="16125" width="7.28515625" style="74" customWidth="1"/>
    <col min="16126" max="16126" width="5.85546875" style="74" bestFit="1" customWidth="1"/>
    <col min="16127" max="16127" width="9.7109375" style="74" customWidth="1"/>
    <col min="16128" max="16128" width="7.7109375" style="74" customWidth="1"/>
    <col min="16129" max="16129" width="5.85546875" style="74" bestFit="1" customWidth="1"/>
    <col min="16130" max="16130" width="32" style="74" customWidth="1"/>
    <col min="16131" max="16384" width="9.140625" style="74"/>
  </cols>
  <sheetData>
    <row r="1" spans="1:20" x14ac:dyDescent="0.25">
      <c r="A1" s="209" t="s">
        <v>427</v>
      </c>
      <c r="B1" s="209"/>
      <c r="C1" s="209"/>
      <c r="D1" s="209"/>
      <c r="E1" s="209"/>
      <c r="F1" s="209"/>
      <c r="G1" s="209"/>
      <c r="H1" s="209"/>
      <c r="I1" s="209"/>
      <c r="J1" s="209"/>
      <c r="K1" s="209"/>
      <c r="L1" s="209"/>
      <c r="M1" s="127"/>
    </row>
    <row r="2" spans="1:20" x14ac:dyDescent="0.25">
      <c r="A2" s="210" t="str">
        <f>'Biểu 2a'!A2:L2</f>
        <v>(Kèm Văn bản số: 2278/SNN-KH ngày 18 tháng 9 năm 2023 của Sở Nông nghiệp và PTNT)</v>
      </c>
      <c r="B2" s="210"/>
      <c r="C2" s="210"/>
      <c r="D2" s="210"/>
      <c r="E2" s="210"/>
      <c r="F2" s="210"/>
      <c r="G2" s="210"/>
      <c r="H2" s="210"/>
      <c r="I2" s="210"/>
      <c r="J2" s="210"/>
      <c r="K2" s="210"/>
      <c r="L2" s="210"/>
      <c r="M2" s="130"/>
    </row>
    <row r="3" spans="1:20" ht="21" customHeight="1" x14ac:dyDescent="0.25">
      <c r="A3" s="185" t="s">
        <v>0</v>
      </c>
      <c r="B3" s="185" t="s">
        <v>100</v>
      </c>
      <c r="C3" s="211" t="s">
        <v>105</v>
      </c>
      <c r="D3" s="201" t="s">
        <v>18</v>
      </c>
      <c r="E3" s="202"/>
      <c r="F3" s="202"/>
      <c r="G3" s="202"/>
      <c r="H3" s="203"/>
      <c r="I3" s="201" t="s">
        <v>408</v>
      </c>
      <c r="J3" s="202"/>
      <c r="K3" s="203"/>
      <c r="L3" s="185" t="s">
        <v>77</v>
      </c>
      <c r="M3" s="131"/>
    </row>
    <row r="4" spans="1:20" ht="42.75" x14ac:dyDescent="0.25">
      <c r="A4" s="185"/>
      <c r="B4" s="185"/>
      <c r="C4" s="212"/>
      <c r="D4" s="99" t="s">
        <v>78</v>
      </c>
      <c r="E4" s="99" t="s">
        <v>79</v>
      </c>
      <c r="F4" s="99" t="s">
        <v>80</v>
      </c>
      <c r="G4" s="99" t="s">
        <v>81</v>
      </c>
      <c r="H4" s="99" t="s">
        <v>82</v>
      </c>
      <c r="I4" s="99" t="s">
        <v>81</v>
      </c>
      <c r="J4" s="99" t="s">
        <v>82</v>
      </c>
      <c r="K4" s="108" t="s">
        <v>410</v>
      </c>
      <c r="L4" s="185"/>
      <c r="M4" s="131"/>
    </row>
    <row r="5" spans="1:20" x14ac:dyDescent="0.25">
      <c r="A5" s="201" t="s">
        <v>400</v>
      </c>
      <c r="B5" s="203"/>
      <c r="C5" s="99"/>
      <c r="D5" s="99"/>
      <c r="E5" s="99"/>
      <c r="F5" s="99"/>
      <c r="G5" s="60">
        <f>G6+G19</f>
        <v>126.65</v>
      </c>
      <c r="H5" s="61"/>
      <c r="I5" s="60">
        <f>I6+I19</f>
        <v>105.61999999999999</v>
      </c>
      <c r="J5" s="99"/>
      <c r="K5" s="110"/>
      <c r="L5" s="164"/>
      <c r="M5" s="131"/>
      <c r="N5" s="74">
        <v>2272.6000000000004</v>
      </c>
      <c r="O5" s="85">
        <f>G5/N5*100</f>
        <v>5.5729120830766519</v>
      </c>
    </row>
    <row r="6" spans="1:20" ht="28.5" customHeight="1" x14ac:dyDescent="0.25">
      <c r="A6" s="99" t="s">
        <v>322</v>
      </c>
      <c r="B6" s="201" t="s">
        <v>325</v>
      </c>
      <c r="C6" s="202"/>
      <c r="D6" s="202"/>
      <c r="E6" s="202"/>
      <c r="F6" s="203"/>
      <c r="G6" s="86">
        <f>G7+G10+G12+G14+G17</f>
        <v>10.199999999999999</v>
      </c>
      <c r="H6" s="87"/>
      <c r="I6" s="86">
        <f>I7+I10+I12+I14+I17</f>
        <v>9.2199999999999989</v>
      </c>
      <c r="K6" s="118"/>
      <c r="L6" s="165"/>
      <c r="M6" s="132"/>
      <c r="N6" s="89">
        <f t="shared" ref="N6:N9" si="0">G6-I6</f>
        <v>0.98000000000000043</v>
      </c>
      <c r="O6" s="74">
        <f>J6/2220*100</f>
        <v>0</v>
      </c>
      <c r="P6" s="90">
        <f>Q6/G6*100</f>
        <v>9.6078431372549069</v>
      </c>
      <c r="Q6" s="91">
        <f>G6-I6</f>
        <v>0.98000000000000043</v>
      </c>
      <c r="R6" s="85">
        <f>I6/G6*100</f>
        <v>90.392156862745082</v>
      </c>
      <c r="S6" s="74">
        <v>27.99</v>
      </c>
      <c r="T6" s="74">
        <v>9.42</v>
      </c>
    </row>
    <row r="7" spans="1:20" x14ac:dyDescent="0.25">
      <c r="A7" s="100">
        <v>1</v>
      </c>
      <c r="B7" s="62" t="s">
        <v>13</v>
      </c>
      <c r="C7" s="101"/>
      <c r="D7" s="88"/>
      <c r="E7" s="88"/>
      <c r="F7" s="88"/>
      <c r="G7" s="92">
        <f>SUM(G8:G9)</f>
        <v>1.45</v>
      </c>
      <c r="H7" s="87"/>
      <c r="I7" s="92">
        <f>SUM(I8:I9)</f>
        <v>0.99</v>
      </c>
      <c r="J7" s="111"/>
      <c r="K7" s="118"/>
      <c r="L7" s="165"/>
      <c r="M7" s="132"/>
      <c r="N7" s="93">
        <f t="shared" si="0"/>
        <v>0.45999999999999996</v>
      </c>
    </row>
    <row r="8" spans="1:20" ht="15" customHeight="1" x14ac:dyDescent="0.25">
      <c r="A8" s="198" t="s">
        <v>334</v>
      </c>
      <c r="B8" s="208" t="s">
        <v>276</v>
      </c>
      <c r="C8" s="200">
        <v>2020</v>
      </c>
      <c r="D8" s="103">
        <v>161</v>
      </c>
      <c r="E8" s="103">
        <v>4</v>
      </c>
      <c r="F8" s="103" t="s">
        <v>42</v>
      </c>
      <c r="G8" s="17">
        <v>0.48</v>
      </c>
      <c r="H8" s="16">
        <v>1700</v>
      </c>
      <c r="I8" s="14">
        <f>0.48-0.04</f>
        <v>0.44</v>
      </c>
      <c r="J8" s="112">
        <v>1680</v>
      </c>
      <c r="K8" s="118">
        <f>J8/2220*100</f>
        <v>75.675675675675677</v>
      </c>
      <c r="L8" s="46" t="s">
        <v>303</v>
      </c>
      <c r="M8" s="133"/>
      <c r="N8" s="91">
        <f t="shared" si="0"/>
        <v>3.999999999999998E-2</v>
      </c>
      <c r="O8" s="74">
        <f>J8/2220*100</f>
        <v>75.675675675675677</v>
      </c>
      <c r="P8" s="85">
        <f>O8-85</f>
        <v>-9.3243243243243228</v>
      </c>
      <c r="T8" s="85">
        <f>T6/G6*100</f>
        <v>92.352941176470594</v>
      </c>
    </row>
    <row r="9" spans="1:20" ht="15" customHeight="1" x14ac:dyDescent="0.25">
      <c r="A9" s="198"/>
      <c r="B9" s="208"/>
      <c r="C9" s="200"/>
      <c r="D9" s="103">
        <v>167</v>
      </c>
      <c r="E9" s="103">
        <v>1</v>
      </c>
      <c r="F9" s="103" t="s">
        <v>44</v>
      </c>
      <c r="G9" s="17">
        <v>0.97</v>
      </c>
      <c r="H9" s="16">
        <v>1900</v>
      </c>
      <c r="I9" s="14">
        <v>0.55000000000000004</v>
      </c>
      <c r="J9" s="112">
        <v>1870</v>
      </c>
      <c r="K9" s="118">
        <f t="shared" ref="K9:K34" si="1">J9/2220*100</f>
        <v>84.234234234234222</v>
      </c>
      <c r="L9" s="46" t="s">
        <v>305</v>
      </c>
      <c r="M9" s="133"/>
      <c r="N9" s="91">
        <f t="shared" si="0"/>
        <v>0.41999999999999993</v>
      </c>
      <c r="O9" s="74">
        <f>J9/2220*100</f>
        <v>84.234234234234222</v>
      </c>
      <c r="P9" s="85">
        <f t="shared" ref="P9:P18" si="2">O9-85</f>
        <v>-0.76576576576577793</v>
      </c>
    </row>
    <row r="10" spans="1:20" x14ac:dyDescent="0.25">
      <c r="A10" s="100">
        <v>2</v>
      </c>
      <c r="B10" s="62" t="s">
        <v>7</v>
      </c>
      <c r="C10" s="101"/>
      <c r="D10" s="88"/>
      <c r="E10" s="88"/>
      <c r="F10" s="88"/>
      <c r="G10" s="92">
        <f>SUM(G11:G11)</f>
        <v>1.86</v>
      </c>
      <c r="H10" s="87"/>
      <c r="I10" s="92">
        <f>SUM(I11:I11)</f>
        <v>1.65</v>
      </c>
      <c r="J10" s="109"/>
      <c r="K10" s="118"/>
      <c r="L10" s="164"/>
      <c r="M10" s="135"/>
      <c r="N10" s="93">
        <f>G10-I10</f>
        <v>0.21000000000000019</v>
      </c>
      <c r="P10" s="85"/>
    </row>
    <row r="11" spans="1:20" ht="30" customHeight="1" x14ac:dyDescent="0.25">
      <c r="A11" s="103" t="s">
        <v>14</v>
      </c>
      <c r="B11" s="102" t="s">
        <v>279</v>
      </c>
      <c r="C11" s="101">
        <v>2020</v>
      </c>
      <c r="D11" s="103" t="s">
        <v>54</v>
      </c>
      <c r="E11" s="103">
        <v>4</v>
      </c>
      <c r="F11" s="103" t="s">
        <v>26</v>
      </c>
      <c r="G11" s="12">
        <v>1.86</v>
      </c>
      <c r="H11" s="16">
        <v>2010</v>
      </c>
      <c r="I11" s="14">
        <v>1.65</v>
      </c>
      <c r="J11" s="112">
        <v>1480</v>
      </c>
      <c r="K11" s="118">
        <f t="shared" si="1"/>
        <v>66.666666666666657</v>
      </c>
      <c r="L11" s="46" t="s">
        <v>357</v>
      </c>
      <c r="M11" s="133"/>
      <c r="N11" s="91">
        <f>G11-I11</f>
        <v>0.21000000000000019</v>
      </c>
      <c r="O11" s="74">
        <f>J11/2220*100</f>
        <v>66.666666666666657</v>
      </c>
      <c r="P11" s="85">
        <f t="shared" si="2"/>
        <v>-18.333333333333343</v>
      </c>
    </row>
    <row r="12" spans="1:20" x14ac:dyDescent="0.25">
      <c r="A12" s="100">
        <v>3</v>
      </c>
      <c r="B12" s="62" t="s">
        <v>5</v>
      </c>
      <c r="C12" s="101"/>
      <c r="D12" s="88"/>
      <c r="E12" s="88"/>
      <c r="F12" s="88"/>
      <c r="G12" s="92">
        <f>SUM(G13:G13)</f>
        <v>0.32</v>
      </c>
      <c r="H12" s="87"/>
      <c r="I12" s="92">
        <f>SUM(I13:I13)</f>
        <v>0.32</v>
      </c>
      <c r="J12" s="109"/>
      <c r="K12" s="118"/>
      <c r="L12" s="164"/>
      <c r="M12" s="135"/>
      <c r="N12" s="91">
        <f>G12-I12</f>
        <v>0</v>
      </c>
      <c r="P12" s="85"/>
    </row>
    <row r="13" spans="1:20" ht="30" customHeight="1" x14ac:dyDescent="0.25">
      <c r="A13" s="103" t="s">
        <v>428</v>
      </c>
      <c r="B13" s="102" t="s">
        <v>288</v>
      </c>
      <c r="C13" s="101">
        <v>2022</v>
      </c>
      <c r="D13" s="103">
        <v>217</v>
      </c>
      <c r="E13" s="103">
        <v>5</v>
      </c>
      <c r="F13" s="103">
        <v>1</v>
      </c>
      <c r="G13" s="17">
        <v>0.32</v>
      </c>
      <c r="H13" s="16">
        <v>2020</v>
      </c>
      <c r="I13" s="14">
        <v>0.32</v>
      </c>
      <c r="J13" s="112">
        <v>440</v>
      </c>
      <c r="K13" s="118">
        <f t="shared" si="1"/>
        <v>19.81981981981982</v>
      </c>
      <c r="L13" s="170"/>
      <c r="M13" s="137"/>
      <c r="N13" s="91"/>
      <c r="O13" s="74">
        <f>J13/2220*100</f>
        <v>19.81981981981982</v>
      </c>
      <c r="P13" s="85">
        <f t="shared" si="2"/>
        <v>-65.180180180180173</v>
      </c>
      <c r="Q13" s="74">
        <f t="shared" ref="Q13" si="3">O13-50</f>
        <v>-30.18018018018018</v>
      </c>
    </row>
    <row r="14" spans="1:20" x14ac:dyDescent="0.25">
      <c r="A14" s="100">
        <v>4</v>
      </c>
      <c r="B14" s="62" t="s">
        <v>3</v>
      </c>
      <c r="C14" s="101"/>
      <c r="D14" s="88"/>
      <c r="E14" s="88"/>
      <c r="F14" s="88"/>
      <c r="G14" s="92">
        <f>SUM(G15:G16)</f>
        <v>5.84</v>
      </c>
      <c r="H14" s="87"/>
      <c r="I14" s="92">
        <f>SUM(I15:I16)</f>
        <v>5.5299999999999994</v>
      </c>
      <c r="J14" s="114"/>
      <c r="K14" s="118"/>
      <c r="L14" s="164"/>
      <c r="M14" s="131"/>
      <c r="N14" s="93">
        <f>G14-I14</f>
        <v>0.3100000000000005</v>
      </c>
      <c r="P14" s="85"/>
    </row>
    <row r="15" spans="1:20" ht="30" customHeight="1" x14ac:dyDescent="0.25">
      <c r="A15" s="103" t="s">
        <v>429</v>
      </c>
      <c r="B15" s="102" t="s">
        <v>293</v>
      </c>
      <c r="C15" s="106">
        <v>2022</v>
      </c>
      <c r="D15" s="107">
        <v>198</v>
      </c>
      <c r="E15" s="107">
        <v>5</v>
      </c>
      <c r="F15" s="107">
        <v>1</v>
      </c>
      <c r="G15" s="12">
        <v>4.8</v>
      </c>
      <c r="H15" s="16">
        <v>2100</v>
      </c>
      <c r="I15" s="14">
        <v>4.5999999999999996</v>
      </c>
      <c r="J15" s="112">
        <v>1486</v>
      </c>
      <c r="K15" s="118">
        <f t="shared" si="1"/>
        <v>66.936936936936945</v>
      </c>
      <c r="L15" s="166" t="s">
        <v>360</v>
      </c>
      <c r="M15" s="136"/>
      <c r="N15" s="91"/>
      <c r="O15" s="74">
        <f t="shared" ref="O15:O16" si="4">J15/2220*100</f>
        <v>66.936936936936945</v>
      </c>
      <c r="P15" s="85">
        <f t="shared" si="2"/>
        <v>-18.063063063063055</v>
      </c>
    </row>
    <row r="16" spans="1:20" ht="30" customHeight="1" x14ac:dyDescent="0.25">
      <c r="A16" s="103" t="s">
        <v>430</v>
      </c>
      <c r="B16" s="102" t="s">
        <v>295</v>
      </c>
      <c r="C16" s="106">
        <v>2022</v>
      </c>
      <c r="D16" s="103">
        <v>38</v>
      </c>
      <c r="E16" s="103">
        <v>10</v>
      </c>
      <c r="F16" s="103">
        <v>1</v>
      </c>
      <c r="G16" s="17">
        <v>1.04</v>
      </c>
      <c r="H16" s="16">
        <v>2100</v>
      </c>
      <c r="I16" s="14">
        <v>0.93</v>
      </c>
      <c r="J16" s="112">
        <v>1280</v>
      </c>
      <c r="K16" s="118">
        <f t="shared" si="1"/>
        <v>57.657657657657658</v>
      </c>
      <c r="L16" s="166" t="s">
        <v>359</v>
      </c>
      <c r="M16" s="136"/>
      <c r="N16" s="91">
        <f t="shared" ref="N16:N17" si="5">G16-I16</f>
        <v>0.10999999999999999</v>
      </c>
      <c r="O16" s="74">
        <f t="shared" si="4"/>
        <v>57.657657657657658</v>
      </c>
      <c r="P16" s="85">
        <f t="shared" si="2"/>
        <v>-27.342342342342342</v>
      </c>
    </row>
    <row r="17" spans="1:17" x14ac:dyDescent="0.25">
      <c r="A17" s="100">
        <v>5</v>
      </c>
      <c r="B17" s="62" t="s">
        <v>11</v>
      </c>
      <c r="C17" s="101"/>
      <c r="D17" s="88"/>
      <c r="E17" s="88"/>
      <c r="F17" s="88"/>
      <c r="G17" s="92">
        <f>SUM(G18:G18)</f>
        <v>0.73</v>
      </c>
      <c r="H17" s="87"/>
      <c r="I17" s="92">
        <f>SUM(I18:I18)</f>
        <v>0.73</v>
      </c>
      <c r="J17" s="114"/>
      <c r="K17" s="118"/>
      <c r="L17" s="164"/>
      <c r="M17" s="131"/>
      <c r="N17" s="93">
        <f t="shared" si="5"/>
        <v>0</v>
      </c>
      <c r="P17" s="85"/>
    </row>
    <row r="18" spans="1:17" ht="30.75" customHeight="1" x14ac:dyDescent="0.25">
      <c r="A18" s="124" t="s">
        <v>431</v>
      </c>
      <c r="B18" s="123" t="s">
        <v>302</v>
      </c>
      <c r="C18" s="122">
        <v>2019</v>
      </c>
      <c r="D18" s="106">
        <v>531</v>
      </c>
      <c r="E18" s="106">
        <v>4</v>
      </c>
      <c r="F18" s="106">
        <v>1</v>
      </c>
      <c r="G18" s="19">
        <v>0.73</v>
      </c>
      <c r="H18" s="18">
        <v>384</v>
      </c>
      <c r="I18" s="19">
        <v>0.73</v>
      </c>
      <c r="J18" s="115">
        <v>340</v>
      </c>
      <c r="K18" s="118">
        <f t="shared" si="1"/>
        <v>15.315315315315313</v>
      </c>
      <c r="L18" s="47"/>
      <c r="M18" s="139"/>
      <c r="N18" s="91"/>
      <c r="O18" s="74">
        <f>J18/417*100</f>
        <v>81.534772182254201</v>
      </c>
      <c r="P18" s="85">
        <f t="shared" si="2"/>
        <v>-3.4652278177457987</v>
      </c>
    </row>
    <row r="19" spans="1:17" ht="28.5" customHeight="1" x14ac:dyDescent="0.25">
      <c r="A19" s="99" t="s">
        <v>324</v>
      </c>
      <c r="B19" s="201" t="s">
        <v>323</v>
      </c>
      <c r="C19" s="202"/>
      <c r="D19" s="202"/>
      <c r="E19" s="202"/>
      <c r="F19" s="203"/>
      <c r="G19" s="94">
        <f>G20+G26+G28+G35+G43+G52+G54+G61+G67+G70+G75+G89</f>
        <v>116.45</v>
      </c>
      <c r="H19" s="88"/>
      <c r="I19" s="94">
        <f>I20+I26+I28+I35+I43+I52+I54+I61+I67+I70+I75+I89</f>
        <v>96.399999999999991</v>
      </c>
      <c r="J19" s="116"/>
      <c r="K19" s="118"/>
      <c r="L19" s="47"/>
      <c r="M19" s="138"/>
      <c r="N19" s="93">
        <f>G19-I19</f>
        <v>20.050000000000011</v>
      </c>
      <c r="O19" s="74">
        <f>I19/G19</f>
        <v>0.8278231000429368</v>
      </c>
      <c r="P19" s="95">
        <f>N19/G19*100</f>
        <v>17.217689995706319</v>
      </c>
      <c r="Q19" s="74">
        <v>2036.9300000000003</v>
      </c>
    </row>
    <row r="20" spans="1:17" x14ac:dyDescent="0.25">
      <c r="A20" s="100">
        <v>1</v>
      </c>
      <c r="B20" s="31" t="s">
        <v>16</v>
      </c>
      <c r="C20" s="101"/>
      <c r="D20" s="88"/>
      <c r="E20" s="88"/>
      <c r="F20" s="88"/>
      <c r="G20" s="92">
        <f>SUM(G21:G25)</f>
        <v>8.51</v>
      </c>
      <c r="H20" s="96"/>
      <c r="I20" s="92">
        <f>SUM(I21:I25)</f>
        <v>8.33</v>
      </c>
      <c r="J20" s="109"/>
      <c r="K20" s="118"/>
      <c r="L20" s="164"/>
      <c r="M20" s="135"/>
      <c r="N20" s="93">
        <f t="shared" ref="N20:N59" si="6">G20-I20</f>
        <v>0.17999999999999972</v>
      </c>
      <c r="Q20" s="85">
        <f>G19/Q19*100</f>
        <v>5.7169367626771654</v>
      </c>
    </row>
    <row r="21" spans="1:17" ht="30" customHeight="1" x14ac:dyDescent="0.25">
      <c r="A21" s="160" t="s">
        <v>334</v>
      </c>
      <c r="B21" s="104" t="s">
        <v>102</v>
      </c>
      <c r="C21" s="106">
        <v>2014</v>
      </c>
      <c r="D21" s="101">
        <v>80</v>
      </c>
      <c r="E21" s="101">
        <v>7</v>
      </c>
      <c r="F21" s="101" t="s">
        <v>22</v>
      </c>
      <c r="G21" s="2">
        <v>0.71</v>
      </c>
      <c r="H21" s="3">
        <v>1700</v>
      </c>
      <c r="I21" s="2">
        <v>0.71</v>
      </c>
      <c r="J21" s="117">
        <v>1500</v>
      </c>
      <c r="K21" s="118">
        <f t="shared" si="1"/>
        <v>67.567567567567565</v>
      </c>
      <c r="L21" s="167"/>
      <c r="M21" s="140"/>
      <c r="N21" s="91"/>
      <c r="O21" s="85">
        <f>J21/2220*100</f>
        <v>67.567567567567565</v>
      </c>
      <c r="P21" s="85">
        <f>O21-75</f>
        <v>-7.4324324324324351</v>
      </c>
      <c r="Q21" s="85"/>
    </row>
    <row r="22" spans="1:17" ht="60" x14ac:dyDescent="0.25">
      <c r="A22" s="160" t="s">
        <v>335</v>
      </c>
      <c r="B22" s="123" t="s">
        <v>103</v>
      </c>
      <c r="C22" s="125">
        <v>2015</v>
      </c>
      <c r="D22" s="101">
        <v>125</v>
      </c>
      <c r="E22" s="101">
        <v>4</v>
      </c>
      <c r="F22" s="101" t="s">
        <v>25</v>
      </c>
      <c r="G22" s="2">
        <v>3.3</v>
      </c>
      <c r="H22" s="3">
        <v>1700</v>
      </c>
      <c r="I22" s="3">
        <v>3.3</v>
      </c>
      <c r="J22" s="117">
        <v>1633</v>
      </c>
      <c r="K22" s="118">
        <f t="shared" si="1"/>
        <v>73.558558558558559</v>
      </c>
      <c r="L22" s="167"/>
      <c r="M22" s="140"/>
      <c r="N22" s="91"/>
      <c r="O22" s="85">
        <f t="shared" ref="O22:O60" si="7">J22/2220*100</f>
        <v>73.558558558558559</v>
      </c>
      <c r="P22" s="85">
        <f t="shared" ref="P22:P60" si="8">O22-75</f>
        <v>-1.4414414414414409</v>
      </c>
      <c r="Q22" s="85"/>
    </row>
    <row r="23" spans="1:17" ht="68.25" customHeight="1" x14ac:dyDescent="0.25">
      <c r="A23" s="160" t="s">
        <v>336</v>
      </c>
      <c r="B23" s="123" t="s">
        <v>275</v>
      </c>
      <c r="C23" s="125">
        <v>2016</v>
      </c>
      <c r="D23" s="101">
        <v>91</v>
      </c>
      <c r="E23" s="101">
        <v>8</v>
      </c>
      <c r="F23" s="101" t="s">
        <v>27</v>
      </c>
      <c r="G23" s="2">
        <v>3.0700000000000003</v>
      </c>
      <c r="H23" s="3">
        <v>1700</v>
      </c>
      <c r="I23" s="4">
        <f>3.07-0.18</f>
        <v>2.8899999999999997</v>
      </c>
      <c r="J23" s="117">
        <v>1567</v>
      </c>
      <c r="K23" s="118">
        <f t="shared" si="1"/>
        <v>70.585585585585591</v>
      </c>
      <c r="L23" s="167" t="s">
        <v>339</v>
      </c>
      <c r="M23" s="140"/>
      <c r="N23" s="91">
        <f t="shared" si="6"/>
        <v>0.1800000000000006</v>
      </c>
      <c r="O23" s="85">
        <f t="shared" si="7"/>
        <v>70.585585585585591</v>
      </c>
      <c r="P23" s="85">
        <f t="shared" si="8"/>
        <v>-4.4144144144144093</v>
      </c>
      <c r="Q23" s="85"/>
    </row>
    <row r="24" spans="1:17" ht="15" customHeight="1" x14ac:dyDescent="0.25">
      <c r="A24" s="198" t="s">
        <v>435</v>
      </c>
      <c r="B24" s="199" t="s">
        <v>106</v>
      </c>
      <c r="C24" s="207">
        <v>2017</v>
      </c>
      <c r="D24" s="101">
        <v>103</v>
      </c>
      <c r="E24" s="101">
        <v>2</v>
      </c>
      <c r="F24" s="101" t="s">
        <v>27</v>
      </c>
      <c r="G24" s="2">
        <v>0.7</v>
      </c>
      <c r="H24" s="3">
        <v>1700</v>
      </c>
      <c r="I24" s="4">
        <v>0.7</v>
      </c>
      <c r="J24" s="117">
        <v>1625</v>
      </c>
      <c r="K24" s="118">
        <f t="shared" si="1"/>
        <v>73.198198198198199</v>
      </c>
      <c r="L24" s="167"/>
      <c r="M24" s="140"/>
      <c r="N24" s="91"/>
      <c r="O24" s="85">
        <f t="shared" si="7"/>
        <v>73.198198198198199</v>
      </c>
      <c r="P24" s="85">
        <f t="shared" si="8"/>
        <v>-1.8018018018018012</v>
      </c>
      <c r="Q24" s="85"/>
    </row>
    <row r="25" spans="1:17" ht="15" customHeight="1" x14ac:dyDescent="0.25">
      <c r="A25" s="198"/>
      <c r="B25" s="199"/>
      <c r="C25" s="207"/>
      <c r="D25" s="101">
        <v>103</v>
      </c>
      <c r="E25" s="101">
        <v>5</v>
      </c>
      <c r="F25" s="101" t="s">
        <v>28</v>
      </c>
      <c r="G25" s="2">
        <v>0.73</v>
      </c>
      <c r="H25" s="3">
        <v>1700</v>
      </c>
      <c r="I25" s="4">
        <v>0.73</v>
      </c>
      <c r="J25" s="117">
        <v>1600</v>
      </c>
      <c r="K25" s="118">
        <f t="shared" si="1"/>
        <v>72.072072072072075</v>
      </c>
      <c r="L25" s="167"/>
      <c r="M25" s="140"/>
      <c r="N25" s="91"/>
      <c r="O25" s="85">
        <f t="shared" si="7"/>
        <v>72.072072072072075</v>
      </c>
      <c r="P25" s="85">
        <f t="shared" si="8"/>
        <v>-2.9279279279279251</v>
      </c>
      <c r="Q25" s="85"/>
    </row>
    <row r="26" spans="1:17" x14ac:dyDescent="0.25">
      <c r="A26" s="100">
        <v>2</v>
      </c>
      <c r="B26" s="31" t="s">
        <v>6</v>
      </c>
      <c r="C26" s="101"/>
      <c r="D26" s="88"/>
      <c r="E26" s="88"/>
      <c r="F26" s="88"/>
      <c r="G26" s="92">
        <f>SUM(G27:G27)</f>
        <v>2.82</v>
      </c>
      <c r="H26" s="97"/>
      <c r="I26" s="92">
        <f>SUM(I27:I27)</f>
        <v>2.58</v>
      </c>
      <c r="J26" s="111"/>
      <c r="K26" s="118"/>
      <c r="L26" s="165"/>
      <c r="M26" s="132"/>
      <c r="N26" s="93">
        <f t="shared" si="6"/>
        <v>0.23999999999999977</v>
      </c>
      <c r="O26" s="85"/>
      <c r="P26" s="85"/>
      <c r="Q26" s="85"/>
    </row>
    <row r="27" spans="1:17" ht="30" customHeight="1" x14ac:dyDescent="0.25">
      <c r="A27" s="103" t="s">
        <v>14</v>
      </c>
      <c r="B27" s="104" t="s">
        <v>108</v>
      </c>
      <c r="C27" s="106">
        <v>2016</v>
      </c>
      <c r="D27" s="103">
        <v>93</v>
      </c>
      <c r="E27" s="103">
        <v>3</v>
      </c>
      <c r="F27" s="103" t="s">
        <v>31</v>
      </c>
      <c r="G27" s="12">
        <v>2.82</v>
      </c>
      <c r="H27" s="16">
        <v>1338</v>
      </c>
      <c r="I27" s="16">
        <v>2.58</v>
      </c>
      <c r="J27" s="112">
        <v>1350</v>
      </c>
      <c r="K27" s="118">
        <f t="shared" si="1"/>
        <v>60.810810810810814</v>
      </c>
      <c r="L27" s="46" t="s">
        <v>342</v>
      </c>
      <c r="M27" s="133"/>
      <c r="N27" s="91">
        <f t="shared" si="6"/>
        <v>0.23999999999999977</v>
      </c>
      <c r="O27" s="85">
        <f t="shared" si="7"/>
        <v>60.810810810810814</v>
      </c>
      <c r="P27" s="85">
        <f t="shared" si="8"/>
        <v>-14.189189189189186</v>
      </c>
      <c r="Q27" s="85"/>
    </row>
    <row r="28" spans="1:17" x14ac:dyDescent="0.25">
      <c r="A28" s="100">
        <v>3</v>
      </c>
      <c r="B28" s="31" t="s">
        <v>13</v>
      </c>
      <c r="C28" s="101"/>
      <c r="D28" s="88"/>
      <c r="E28" s="88"/>
      <c r="F28" s="88"/>
      <c r="G28" s="92">
        <f>SUM(G29:G34)</f>
        <v>5.08</v>
      </c>
      <c r="H28" s="87"/>
      <c r="I28" s="92">
        <f>SUM(I29:I34)</f>
        <v>2.65</v>
      </c>
      <c r="J28" s="109"/>
      <c r="K28" s="118"/>
      <c r="L28" s="164"/>
      <c r="M28" s="135"/>
      <c r="N28" s="93">
        <f t="shared" si="6"/>
        <v>2.4300000000000002</v>
      </c>
      <c r="O28" s="85"/>
      <c r="P28" s="85"/>
      <c r="Q28" s="85"/>
    </row>
    <row r="29" spans="1:17" ht="30" x14ac:dyDescent="0.25">
      <c r="A29" s="124" t="s">
        <v>428</v>
      </c>
      <c r="B29" s="123" t="s">
        <v>120</v>
      </c>
      <c r="C29" s="122">
        <v>2017</v>
      </c>
      <c r="D29" s="103">
        <v>168</v>
      </c>
      <c r="E29" s="103">
        <v>5</v>
      </c>
      <c r="F29" s="103" t="s">
        <v>38</v>
      </c>
      <c r="G29" s="12">
        <v>0.57999999999999996</v>
      </c>
      <c r="H29" s="16">
        <v>2083</v>
      </c>
      <c r="I29" s="14">
        <v>0.45</v>
      </c>
      <c r="J29" s="112">
        <v>1400</v>
      </c>
      <c r="K29" s="118">
        <f t="shared" si="1"/>
        <v>63.063063063063062</v>
      </c>
      <c r="L29" s="169"/>
      <c r="M29" s="141"/>
      <c r="N29" s="91">
        <f t="shared" si="6"/>
        <v>0.12999999999999995</v>
      </c>
      <c r="O29" s="85">
        <f t="shared" si="7"/>
        <v>63.063063063063062</v>
      </c>
      <c r="P29" s="85">
        <f t="shared" si="8"/>
        <v>-11.936936936936938</v>
      </c>
      <c r="Q29" s="85"/>
    </row>
    <row r="30" spans="1:17" x14ac:dyDescent="0.25">
      <c r="A30" s="198" t="s">
        <v>436</v>
      </c>
      <c r="B30" s="199" t="s">
        <v>122</v>
      </c>
      <c r="C30" s="200">
        <v>2018</v>
      </c>
      <c r="D30" s="103"/>
      <c r="E30" s="103"/>
      <c r="F30" s="103"/>
      <c r="G30" s="12"/>
      <c r="H30" s="16"/>
      <c r="I30" s="16"/>
      <c r="J30" s="112"/>
      <c r="K30" s="118"/>
      <c r="L30" s="169"/>
      <c r="M30" s="141"/>
      <c r="N30" s="91">
        <f t="shared" si="6"/>
        <v>0</v>
      </c>
      <c r="O30" s="85">
        <f t="shared" si="7"/>
        <v>0</v>
      </c>
      <c r="P30" s="85"/>
      <c r="Q30" s="85"/>
    </row>
    <row r="31" spans="1:17" ht="15" customHeight="1" x14ac:dyDescent="0.25">
      <c r="A31" s="198"/>
      <c r="B31" s="199"/>
      <c r="C31" s="200"/>
      <c r="D31" s="103">
        <v>168</v>
      </c>
      <c r="E31" s="103">
        <v>11</v>
      </c>
      <c r="F31" s="103" t="s">
        <v>33</v>
      </c>
      <c r="G31" s="12">
        <v>0.4</v>
      </c>
      <c r="H31" s="16">
        <v>2060</v>
      </c>
      <c r="I31" s="14">
        <v>0.33</v>
      </c>
      <c r="J31" s="112">
        <v>1450</v>
      </c>
      <c r="K31" s="118">
        <f t="shared" si="1"/>
        <v>65.315315315315317</v>
      </c>
      <c r="L31" s="169"/>
      <c r="M31" s="141"/>
      <c r="N31" s="91">
        <f t="shared" si="6"/>
        <v>7.0000000000000007E-2</v>
      </c>
      <c r="O31" s="85">
        <f t="shared" si="7"/>
        <v>65.315315315315317</v>
      </c>
      <c r="P31" s="85">
        <f t="shared" si="8"/>
        <v>-9.684684684684683</v>
      </c>
      <c r="Q31" s="85"/>
    </row>
    <row r="32" spans="1:17" ht="30" customHeight="1" x14ac:dyDescent="0.25">
      <c r="A32" s="103" t="s">
        <v>438</v>
      </c>
      <c r="B32" s="104" t="s">
        <v>124</v>
      </c>
      <c r="C32" s="101">
        <v>2018</v>
      </c>
      <c r="D32" s="107" t="s">
        <v>39</v>
      </c>
      <c r="E32" s="107">
        <v>3</v>
      </c>
      <c r="F32" s="107" t="s">
        <v>22</v>
      </c>
      <c r="G32" s="12">
        <v>0.92</v>
      </c>
      <c r="H32" s="16">
        <v>2061</v>
      </c>
      <c r="I32" s="14">
        <v>0.35</v>
      </c>
      <c r="J32" s="112">
        <v>1350</v>
      </c>
      <c r="K32" s="118">
        <f t="shared" si="1"/>
        <v>60.810810810810814</v>
      </c>
      <c r="L32" s="169"/>
      <c r="M32" s="141"/>
      <c r="N32" s="91">
        <f t="shared" si="6"/>
        <v>0.57000000000000006</v>
      </c>
      <c r="O32" s="85">
        <f t="shared" si="7"/>
        <v>60.810810810810814</v>
      </c>
      <c r="P32" s="85">
        <f t="shared" si="8"/>
        <v>-14.189189189189186</v>
      </c>
      <c r="Q32" s="85"/>
    </row>
    <row r="33" spans="1:18" ht="30" customHeight="1" x14ac:dyDescent="0.25">
      <c r="A33" s="198" t="s">
        <v>437</v>
      </c>
      <c r="B33" s="199" t="s">
        <v>126</v>
      </c>
      <c r="C33" s="200">
        <v>2019</v>
      </c>
      <c r="D33" s="103" t="s">
        <v>40</v>
      </c>
      <c r="E33" s="103">
        <v>10</v>
      </c>
      <c r="F33" s="103" t="s">
        <v>41</v>
      </c>
      <c r="G33" s="12">
        <v>1.1499999999999999</v>
      </c>
      <c r="H33" s="16">
        <v>1700</v>
      </c>
      <c r="I33" s="14">
        <v>0.7</v>
      </c>
      <c r="J33" s="112">
        <v>1375</v>
      </c>
      <c r="K33" s="118">
        <f t="shared" si="1"/>
        <v>61.936936936936938</v>
      </c>
      <c r="L33" s="169" t="s">
        <v>361</v>
      </c>
      <c r="M33" s="141"/>
      <c r="N33" s="91">
        <f t="shared" si="6"/>
        <v>0.44999999999999996</v>
      </c>
      <c r="O33" s="85">
        <f t="shared" si="7"/>
        <v>61.936936936936938</v>
      </c>
      <c r="P33" s="85">
        <f t="shared" si="8"/>
        <v>-13.063063063063062</v>
      </c>
      <c r="Q33" s="85"/>
    </row>
    <row r="34" spans="1:18" ht="30" customHeight="1" x14ac:dyDescent="0.25">
      <c r="A34" s="198"/>
      <c r="B34" s="199"/>
      <c r="C34" s="200"/>
      <c r="D34" s="103" t="s">
        <v>40</v>
      </c>
      <c r="E34" s="103">
        <v>13</v>
      </c>
      <c r="F34" s="103" t="s">
        <v>32</v>
      </c>
      <c r="G34" s="12">
        <v>2.0299999999999998</v>
      </c>
      <c r="H34" s="16">
        <v>1750</v>
      </c>
      <c r="I34" s="14">
        <v>0.82</v>
      </c>
      <c r="J34" s="112">
        <v>850</v>
      </c>
      <c r="K34" s="118">
        <f t="shared" si="1"/>
        <v>38.288288288288285</v>
      </c>
      <c r="L34" s="169" t="s">
        <v>361</v>
      </c>
      <c r="M34" s="141"/>
      <c r="N34" s="91">
        <f t="shared" si="6"/>
        <v>1.21</v>
      </c>
      <c r="O34" s="85">
        <f t="shared" si="7"/>
        <v>38.288288288288285</v>
      </c>
      <c r="P34" s="85">
        <f t="shared" si="8"/>
        <v>-36.711711711711715</v>
      </c>
      <c r="Q34" s="85">
        <f t="shared" ref="Q34:Q51" si="9">O34-50</f>
        <v>-11.711711711711715</v>
      </c>
    </row>
    <row r="35" spans="1:18" ht="28.5" x14ac:dyDescent="0.25">
      <c r="A35" s="100">
        <v>4</v>
      </c>
      <c r="B35" s="31" t="s">
        <v>92</v>
      </c>
      <c r="C35" s="101"/>
      <c r="D35" s="88"/>
      <c r="E35" s="88"/>
      <c r="F35" s="88"/>
      <c r="G35" s="92">
        <f>SUM(G36:G42)</f>
        <v>15.979999999999999</v>
      </c>
      <c r="H35" s="87"/>
      <c r="I35" s="92">
        <f>SUM(I36:I42)</f>
        <v>14.8</v>
      </c>
      <c r="J35" s="114"/>
      <c r="K35" s="118"/>
      <c r="L35" s="164"/>
      <c r="M35" s="135"/>
      <c r="N35" s="93">
        <f t="shared" si="6"/>
        <v>1.1799999999999979</v>
      </c>
      <c r="O35" s="85"/>
      <c r="P35" s="85"/>
      <c r="Q35" s="85"/>
    </row>
    <row r="36" spans="1:18" ht="45" customHeight="1" x14ac:dyDescent="0.25">
      <c r="A36" s="103" t="s">
        <v>429</v>
      </c>
      <c r="B36" s="104" t="s">
        <v>128</v>
      </c>
      <c r="C36" s="101">
        <v>2015</v>
      </c>
      <c r="D36" s="101" t="s">
        <v>45</v>
      </c>
      <c r="E36" s="101">
        <v>8</v>
      </c>
      <c r="F36" s="101" t="s">
        <v>22</v>
      </c>
      <c r="G36" s="2">
        <v>3.5</v>
      </c>
      <c r="H36" s="3">
        <v>1954</v>
      </c>
      <c r="I36" s="2">
        <v>3.5</v>
      </c>
      <c r="J36" s="117">
        <v>1033</v>
      </c>
      <c r="K36" s="118">
        <f t="shared" ref="K36:K74" si="10">J36/2220*100</f>
        <v>46.531531531531535</v>
      </c>
      <c r="L36" s="46"/>
      <c r="M36" s="133"/>
      <c r="N36" s="91">
        <f t="shared" si="6"/>
        <v>0</v>
      </c>
      <c r="O36" s="85">
        <f t="shared" si="7"/>
        <v>46.531531531531535</v>
      </c>
      <c r="P36" s="85">
        <f t="shared" si="8"/>
        <v>-28.468468468468465</v>
      </c>
      <c r="Q36" s="85">
        <f t="shared" si="9"/>
        <v>-3.4684684684684655</v>
      </c>
      <c r="R36" s="74">
        <f>I36/G36*100</f>
        <v>100</v>
      </c>
    </row>
    <row r="37" spans="1:18" ht="45" customHeight="1" x14ac:dyDescent="0.25">
      <c r="A37" s="103" t="s">
        <v>430</v>
      </c>
      <c r="B37" s="104" t="s">
        <v>130</v>
      </c>
      <c r="C37" s="101">
        <v>2015</v>
      </c>
      <c r="D37" s="101" t="s">
        <v>45</v>
      </c>
      <c r="E37" s="101">
        <v>9</v>
      </c>
      <c r="F37" s="101" t="s">
        <v>28</v>
      </c>
      <c r="G37" s="2">
        <v>2.8</v>
      </c>
      <c r="H37" s="3">
        <v>1931</v>
      </c>
      <c r="I37" s="2">
        <v>2.62</v>
      </c>
      <c r="J37" s="117">
        <v>975</v>
      </c>
      <c r="K37" s="118">
        <f t="shared" si="10"/>
        <v>43.918918918918919</v>
      </c>
      <c r="L37" s="46" t="s">
        <v>307</v>
      </c>
      <c r="M37" s="133"/>
      <c r="N37" s="91">
        <f t="shared" si="6"/>
        <v>0.17999999999999972</v>
      </c>
      <c r="O37" s="85">
        <f t="shared" si="7"/>
        <v>43.918918918918919</v>
      </c>
      <c r="P37" s="85">
        <f t="shared" si="8"/>
        <v>-31.081081081081081</v>
      </c>
      <c r="Q37" s="85">
        <f t="shared" si="9"/>
        <v>-6.0810810810810807</v>
      </c>
    </row>
    <row r="38" spans="1:18" ht="15" customHeight="1" x14ac:dyDescent="0.25">
      <c r="A38" s="198" t="s">
        <v>441</v>
      </c>
      <c r="B38" s="199" t="s">
        <v>132</v>
      </c>
      <c r="C38" s="200">
        <v>2016</v>
      </c>
      <c r="D38" s="101" t="s">
        <v>45</v>
      </c>
      <c r="E38" s="101">
        <v>8</v>
      </c>
      <c r="F38" s="101" t="s">
        <v>46</v>
      </c>
      <c r="G38" s="2">
        <v>2.63</v>
      </c>
      <c r="H38" s="3">
        <v>1909</v>
      </c>
      <c r="I38" s="2">
        <v>2.63</v>
      </c>
      <c r="J38" s="117">
        <v>950</v>
      </c>
      <c r="K38" s="118">
        <f t="shared" si="10"/>
        <v>42.792792792792795</v>
      </c>
      <c r="L38" s="47"/>
      <c r="M38" s="139"/>
      <c r="N38" s="91"/>
      <c r="O38" s="85">
        <f t="shared" si="7"/>
        <v>42.792792792792795</v>
      </c>
      <c r="P38" s="85">
        <f t="shared" si="8"/>
        <v>-32.207207207207205</v>
      </c>
      <c r="Q38" s="85">
        <f t="shared" si="9"/>
        <v>-7.2072072072072046</v>
      </c>
    </row>
    <row r="39" spans="1:18" ht="15" customHeight="1" x14ac:dyDescent="0.25">
      <c r="A39" s="198"/>
      <c r="B39" s="199"/>
      <c r="C39" s="200"/>
      <c r="D39" s="101" t="s">
        <v>45</v>
      </c>
      <c r="E39" s="101">
        <v>5</v>
      </c>
      <c r="F39" s="101" t="s">
        <v>47</v>
      </c>
      <c r="G39" s="12">
        <v>3.13</v>
      </c>
      <c r="H39" s="3">
        <v>1909</v>
      </c>
      <c r="I39" s="2">
        <v>2.64</v>
      </c>
      <c r="J39" s="117">
        <v>1400</v>
      </c>
      <c r="K39" s="118">
        <f t="shared" si="10"/>
        <v>63.063063063063062</v>
      </c>
      <c r="L39" s="46" t="s">
        <v>308</v>
      </c>
      <c r="M39" s="133"/>
      <c r="N39" s="91">
        <f t="shared" si="6"/>
        <v>0.48999999999999977</v>
      </c>
      <c r="O39" s="85">
        <f t="shared" si="7"/>
        <v>63.063063063063062</v>
      </c>
      <c r="P39" s="85">
        <f t="shared" si="8"/>
        <v>-11.936936936936938</v>
      </c>
      <c r="Q39" s="85"/>
    </row>
    <row r="40" spans="1:18" ht="15" customHeight="1" x14ac:dyDescent="0.25">
      <c r="A40" s="198"/>
      <c r="B40" s="199"/>
      <c r="C40" s="200"/>
      <c r="D40" s="101" t="s">
        <v>48</v>
      </c>
      <c r="E40" s="101">
        <v>2</v>
      </c>
      <c r="F40" s="101" t="s">
        <v>22</v>
      </c>
      <c r="G40" s="2">
        <v>1.2</v>
      </c>
      <c r="H40" s="3">
        <v>1887</v>
      </c>
      <c r="I40" s="2">
        <v>1.2</v>
      </c>
      <c r="J40" s="117">
        <v>925</v>
      </c>
      <c r="K40" s="118">
        <f t="shared" si="10"/>
        <v>41.666666666666671</v>
      </c>
      <c r="L40" s="47"/>
      <c r="M40" s="139"/>
      <c r="N40" s="91"/>
      <c r="O40" s="85">
        <f t="shared" si="7"/>
        <v>41.666666666666671</v>
      </c>
      <c r="P40" s="85">
        <f t="shared" si="8"/>
        <v>-33.333333333333329</v>
      </c>
      <c r="Q40" s="85">
        <f t="shared" si="9"/>
        <v>-8.3333333333333286</v>
      </c>
    </row>
    <row r="41" spans="1:18" ht="30" customHeight="1" x14ac:dyDescent="0.25">
      <c r="A41" s="103" t="s">
        <v>482</v>
      </c>
      <c r="B41" s="104" t="s">
        <v>134</v>
      </c>
      <c r="C41" s="101">
        <v>2017</v>
      </c>
      <c r="D41" s="101" t="s">
        <v>45</v>
      </c>
      <c r="E41" s="101">
        <v>8</v>
      </c>
      <c r="F41" s="101" t="s">
        <v>26</v>
      </c>
      <c r="G41" s="2">
        <v>1.32</v>
      </c>
      <c r="H41" s="3">
        <v>1909</v>
      </c>
      <c r="I41" s="2">
        <v>1.05</v>
      </c>
      <c r="J41" s="117">
        <v>1550</v>
      </c>
      <c r="K41" s="118">
        <f t="shared" si="10"/>
        <v>69.819819819819813</v>
      </c>
      <c r="L41" s="46"/>
      <c r="M41" s="133"/>
      <c r="N41" s="91">
        <f t="shared" si="6"/>
        <v>0.27</v>
      </c>
      <c r="O41" s="85">
        <f t="shared" si="7"/>
        <v>69.819819819819813</v>
      </c>
      <c r="P41" s="85">
        <f t="shared" si="8"/>
        <v>-5.1801801801801872</v>
      </c>
      <c r="Q41" s="85"/>
      <c r="R41" s="85">
        <f>I41/G41*100</f>
        <v>79.545454545454547</v>
      </c>
    </row>
    <row r="42" spans="1:18" ht="30" customHeight="1" x14ac:dyDescent="0.25">
      <c r="A42" s="103" t="s">
        <v>483</v>
      </c>
      <c r="B42" s="104" t="s">
        <v>136</v>
      </c>
      <c r="C42" s="101">
        <v>2018</v>
      </c>
      <c r="D42" s="101" t="s">
        <v>48</v>
      </c>
      <c r="E42" s="103">
        <v>13</v>
      </c>
      <c r="F42" s="103" t="s">
        <v>26</v>
      </c>
      <c r="G42" s="12">
        <v>1.4</v>
      </c>
      <c r="H42" s="16">
        <v>1954</v>
      </c>
      <c r="I42" s="16">
        <v>1.1599999999999999</v>
      </c>
      <c r="J42" s="112">
        <v>1500</v>
      </c>
      <c r="K42" s="118">
        <f t="shared" si="10"/>
        <v>67.567567567567565</v>
      </c>
      <c r="L42" s="46" t="s">
        <v>309</v>
      </c>
      <c r="M42" s="133"/>
      <c r="N42" s="91">
        <f t="shared" si="6"/>
        <v>0.24</v>
      </c>
      <c r="O42" s="85">
        <f t="shared" si="7"/>
        <v>67.567567567567565</v>
      </c>
      <c r="P42" s="85">
        <f t="shared" si="8"/>
        <v>-7.4324324324324351</v>
      </c>
      <c r="Q42" s="85"/>
    </row>
    <row r="43" spans="1:18" x14ac:dyDescent="0.25">
      <c r="A43" s="100">
        <v>5</v>
      </c>
      <c r="B43" s="31" t="s">
        <v>7</v>
      </c>
      <c r="C43" s="101"/>
      <c r="D43" s="88"/>
      <c r="E43" s="88"/>
      <c r="F43" s="88"/>
      <c r="G43" s="92">
        <f>SUM(G44:G51)</f>
        <v>24.249999999999996</v>
      </c>
      <c r="H43" s="87"/>
      <c r="I43" s="92">
        <f>SUM(I44:I51)</f>
        <v>19.09</v>
      </c>
      <c r="J43" s="114"/>
      <c r="K43" s="118"/>
      <c r="L43" s="164"/>
      <c r="M43" s="135"/>
      <c r="N43" s="93">
        <f t="shared" si="6"/>
        <v>5.1599999999999966</v>
      </c>
      <c r="O43" s="85"/>
      <c r="P43" s="85"/>
      <c r="Q43" s="85"/>
    </row>
    <row r="44" spans="1:18" ht="30" customHeight="1" x14ac:dyDescent="0.25">
      <c r="A44" s="160" t="s">
        <v>431</v>
      </c>
      <c r="B44" s="104" t="s">
        <v>137</v>
      </c>
      <c r="C44" s="101">
        <v>2015</v>
      </c>
      <c r="D44" s="103" t="s">
        <v>49</v>
      </c>
      <c r="E44" s="103">
        <v>4</v>
      </c>
      <c r="F44" s="103">
        <v>1</v>
      </c>
      <c r="G44" s="12">
        <v>3</v>
      </c>
      <c r="H44" s="16">
        <v>1900</v>
      </c>
      <c r="I44" s="12">
        <v>1.78</v>
      </c>
      <c r="J44" s="112">
        <v>1366</v>
      </c>
      <c r="K44" s="118">
        <f t="shared" si="10"/>
        <v>61.531531531531535</v>
      </c>
      <c r="L44" s="46" t="s">
        <v>310</v>
      </c>
      <c r="M44" s="133"/>
      <c r="N44" s="91">
        <f t="shared" si="6"/>
        <v>1.22</v>
      </c>
      <c r="O44" s="85">
        <f t="shared" si="7"/>
        <v>61.531531531531535</v>
      </c>
      <c r="P44" s="85">
        <f t="shared" si="8"/>
        <v>-13.468468468468465</v>
      </c>
      <c r="Q44" s="85"/>
    </row>
    <row r="45" spans="1:18" ht="15" customHeight="1" x14ac:dyDescent="0.25">
      <c r="A45" s="160" t="s">
        <v>432</v>
      </c>
      <c r="B45" s="123" t="s">
        <v>138</v>
      </c>
      <c r="C45" s="45">
        <v>2016</v>
      </c>
      <c r="D45" s="103" t="s">
        <v>51</v>
      </c>
      <c r="E45" s="103">
        <v>7</v>
      </c>
      <c r="F45" s="103">
        <v>1</v>
      </c>
      <c r="G45" s="12">
        <v>3.3</v>
      </c>
      <c r="H45" s="16">
        <v>1900</v>
      </c>
      <c r="I45" s="16">
        <v>2.88</v>
      </c>
      <c r="J45" s="112">
        <v>1450</v>
      </c>
      <c r="K45" s="118">
        <f t="shared" si="10"/>
        <v>65.315315315315317</v>
      </c>
      <c r="L45" s="46" t="s">
        <v>305</v>
      </c>
      <c r="M45" s="133"/>
      <c r="N45" s="91">
        <f t="shared" si="6"/>
        <v>0.41999999999999993</v>
      </c>
      <c r="O45" s="85">
        <f t="shared" si="7"/>
        <v>65.315315315315317</v>
      </c>
      <c r="P45" s="85">
        <f t="shared" si="8"/>
        <v>-9.684684684684683</v>
      </c>
      <c r="Q45" s="85"/>
    </row>
    <row r="46" spans="1:18" ht="30" x14ac:dyDescent="0.25">
      <c r="A46" s="160" t="s">
        <v>433</v>
      </c>
      <c r="B46" s="123" t="s">
        <v>140</v>
      </c>
      <c r="C46" s="45">
        <v>2016</v>
      </c>
      <c r="D46" s="103" t="s">
        <v>51</v>
      </c>
      <c r="E46" s="103">
        <v>7</v>
      </c>
      <c r="F46" s="103">
        <v>5</v>
      </c>
      <c r="G46" s="12">
        <v>1.4</v>
      </c>
      <c r="H46" s="16">
        <v>1850</v>
      </c>
      <c r="I46" s="16">
        <v>1.0900000000000001</v>
      </c>
      <c r="J46" s="112">
        <v>1500</v>
      </c>
      <c r="K46" s="118">
        <f t="shared" si="10"/>
        <v>67.567567567567565</v>
      </c>
      <c r="L46" s="46" t="s">
        <v>311</v>
      </c>
      <c r="M46" s="133"/>
      <c r="N46" s="91">
        <f t="shared" si="6"/>
        <v>0.30999999999999983</v>
      </c>
      <c r="O46" s="85">
        <f t="shared" si="7"/>
        <v>67.567567567567565</v>
      </c>
      <c r="P46" s="85">
        <f t="shared" si="8"/>
        <v>-7.4324324324324351</v>
      </c>
      <c r="Q46" s="85"/>
    </row>
    <row r="47" spans="1:18" ht="15" customHeight="1" x14ac:dyDescent="0.25">
      <c r="A47" s="198" t="s">
        <v>442</v>
      </c>
      <c r="B47" s="199" t="s">
        <v>141</v>
      </c>
      <c r="C47" s="200">
        <v>2017</v>
      </c>
      <c r="D47" s="103" t="s">
        <v>49</v>
      </c>
      <c r="E47" s="103">
        <v>4</v>
      </c>
      <c r="F47" s="103" t="s">
        <v>26</v>
      </c>
      <c r="G47" s="12">
        <v>4.04</v>
      </c>
      <c r="H47" s="16">
        <v>1900</v>
      </c>
      <c r="I47" s="14">
        <v>3.16</v>
      </c>
      <c r="J47" s="112">
        <v>1183</v>
      </c>
      <c r="K47" s="118">
        <f t="shared" si="10"/>
        <v>53.288288288288285</v>
      </c>
      <c r="L47" s="46" t="s">
        <v>312</v>
      </c>
      <c r="M47" s="133"/>
      <c r="N47" s="91">
        <f t="shared" si="6"/>
        <v>0.87999999999999989</v>
      </c>
      <c r="O47" s="85">
        <f t="shared" si="7"/>
        <v>53.288288288288285</v>
      </c>
      <c r="P47" s="85">
        <f t="shared" si="8"/>
        <v>-21.711711711711715</v>
      </c>
      <c r="Q47" s="85"/>
    </row>
    <row r="48" spans="1:18" ht="15" customHeight="1" x14ac:dyDescent="0.25">
      <c r="A48" s="198"/>
      <c r="B48" s="199"/>
      <c r="C48" s="200"/>
      <c r="D48" s="103" t="s">
        <v>51</v>
      </c>
      <c r="E48" s="103">
        <v>6</v>
      </c>
      <c r="F48" s="103" t="s">
        <v>26</v>
      </c>
      <c r="G48" s="12">
        <v>2.17</v>
      </c>
      <c r="H48" s="16">
        <v>1900</v>
      </c>
      <c r="I48" s="16">
        <v>1.73</v>
      </c>
      <c r="J48" s="112">
        <v>1275</v>
      </c>
      <c r="K48" s="118">
        <f t="shared" si="10"/>
        <v>57.432432432432435</v>
      </c>
      <c r="L48" s="166" t="s">
        <v>52</v>
      </c>
      <c r="M48" s="136"/>
      <c r="N48" s="91">
        <f t="shared" si="6"/>
        <v>0.43999999999999995</v>
      </c>
      <c r="O48" s="85">
        <f t="shared" si="7"/>
        <v>57.432432432432435</v>
      </c>
      <c r="P48" s="85">
        <f t="shared" si="8"/>
        <v>-17.567567567567565</v>
      </c>
      <c r="Q48" s="85"/>
    </row>
    <row r="49" spans="1:17" ht="15" customHeight="1" x14ac:dyDescent="0.25">
      <c r="A49" s="198"/>
      <c r="B49" s="199"/>
      <c r="C49" s="200"/>
      <c r="D49" s="103">
        <v>228</v>
      </c>
      <c r="E49" s="103">
        <v>3</v>
      </c>
      <c r="F49" s="103" t="s">
        <v>28</v>
      </c>
      <c r="G49" s="12">
        <v>4.9400000000000004</v>
      </c>
      <c r="H49" s="16">
        <v>1900</v>
      </c>
      <c r="I49" s="16">
        <v>4.75</v>
      </c>
      <c r="J49" s="112">
        <v>1516</v>
      </c>
      <c r="K49" s="118">
        <f t="shared" si="10"/>
        <v>68.288288288288285</v>
      </c>
      <c r="L49" s="46" t="s">
        <v>313</v>
      </c>
      <c r="M49" s="133"/>
      <c r="N49" s="91">
        <f t="shared" si="6"/>
        <v>0.19000000000000039</v>
      </c>
      <c r="O49" s="85">
        <f t="shared" si="7"/>
        <v>68.288288288288285</v>
      </c>
      <c r="P49" s="85">
        <f t="shared" si="8"/>
        <v>-6.7117117117117147</v>
      </c>
      <c r="Q49" s="85"/>
    </row>
    <row r="50" spans="1:17" ht="15" customHeight="1" x14ac:dyDescent="0.25">
      <c r="A50" s="198" t="s">
        <v>443</v>
      </c>
      <c r="B50" s="199" t="s">
        <v>143</v>
      </c>
      <c r="C50" s="200">
        <v>2018</v>
      </c>
      <c r="D50" s="103" t="s">
        <v>53</v>
      </c>
      <c r="E50" s="103">
        <v>10</v>
      </c>
      <c r="F50" s="103" t="s">
        <v>26</v>
      </c>
      <c r="G50" s="12">
        <v>2</v>
      </c>
      <c r="H50" s="16">
        <v>1970</v>
      </c>
      <c r="I50" s="14">
        <v>1.38</v>
      </c>
      <c r="J50" s="112">
        <v>1525</v>
      </c>
      <c r="K50" s="118">
        <f t="shared" si="10"/>
        <v>68.693693693693689</v>
      </c>
      <c r="L50" s="46"/>
      <c r="M50" s="133"/>
      <c r="N50" s="91">
        <f t="shared" si="6"/>
        <v>0.62000000000000011</v>
      </c>
      <c r="O50" s="85">
        <f t="shared" si="7"/>
        <v>68.693693693693689</v>
      </c>
      <c r="P50" s="85">
        <f t="shared" si="8"/>
        <v>-6.3063063063063112</v>
      </c>
      <c r="Q50" s="85"/>
    </row>
    <row r="51" spans="1:17" ht="30" customHeight="1" x14ac:dyDescent="0.25">
      <c r="A51" s="198"/>
      <c r="B51" s="199"/>
      <c r="C51" s="200"/>
      <c r="D51" s="103" t="s">
        <v>51</v>
      </c>
      <c r="E51" s="103">
        <v>6</v>
      </c>
      <c r="F51" s="103" t="s">
        <v>22</v>
      </c>
      <c r="G51" s="12">
        <v>3.4</v>
      </c>
      <c r="H51" s="16">
        <v>1980</v>
      </c>
      <c r="I51" s="16">
        <v>2.3199999999999998</v>
      </c>
      <c r="J51" s="112">
        <v>816</v>
      </c>
      <c r="K51" s="118">
        <f t="shared" si="10"/>
        <v>36.756756756756758</v>
      </c>
      <c r="L51" s="46" t="s">
        <v>314</v>
      </c>
      <c r="M51" s="133"/>
      <c r="N51" s="91">
        <f t="shared" si="6"/>
        <v>1.08</v>
      </c>
      <c r="O51" s="85">
        <f t="shared" si="7"/>
        <v>36.756756756756758</v>
      </c>
      <c r="P51" s="85">
        <f t="shared" si="8"/>
        <v>-38.243243243243242</v>
      </c>
      <c r="Q51" s="85">
        <f t="shared" si="9"/>
        <v>-13.243243243243242</v>
      </c>
    </row>
    <row r="52" spans="1:17" ht="28.5" x14ac:dyDescent="0.25">
      <c r="A52" s="100">
        <v>6</v>
      </c>
      <c r="B52" s="31" t="s">
        <v>93</v>
      </c>
      <c r="C52" s="101"/>
      <c r="D52" s="88"/>
      <c r="E52" s="88"/>
      <c r="F52" s="88"/>
      <c r="G52" s="92">
        <f>G53</f>
        <v>2.35</v>
      </c>
      <c r="H52" s="87"/>
      <c r="I52" s="92">
        <f>I53</f>
        <v>1.8</v>
      </c>
      <c r="J52" s="114"/>
      <c r="K52" s="118"/>
      <c r="L52" s="164"/>
      <c r="M52" s="135"/>
      <c r="N52" s="93">
        <f t="shared" si="6"/>
        <v>0.55000000000000004</v>
      </c>
      <c r="O52" s="85"/>
      <c r="P52" s="85"/>
      <c r="Q52" s="85"/>
    </row>
    <row r="53" spans="1:17" ht="45" customHeight="1" x14ac:dyDescent="0.25">
      <c r="A53" s="103" t="s">
        <v>434</v>
      </c>
      <c r="B53" s="104" t="s">
        <v>147</v>
      </c>
      <c r="C53" s="101">
        <v>2015</v>
      </c>
      <c r="D53" s="103">
        <v>638</v>
      </c>
      <c r="E53" s="103">
        <v>1</v>
      </c>
      <c r="F53" s="103" t="s">
        <v>321</v>
      </c>
      <c r="G53" s="17">
        <v>2.35</v>
      </c>
      <c r="H53" s="16">
        <v>2087</v>
      </c>
      <c r="I53" s="14">
        <v>1.8</v>
      </c>
      <c r="J53" s="112">
        <v>1375</v>
      </c>
      <c r="K53" s="118">
        <f t="shared" si="10"/>
        <v>61.936936936936938</v>
      </c>
      <c r="L53" s="46"/>
      <c r="M53" s="133"/>
      <c r="N53" s="91">
        <f t="shared" si="6"/>
        <v>0.55000000000000004</v>
      </c>
      <c r="O53" s="85">
        <f t="shared" si="7"/>
        <v>61.936936936936938</v>
      </c>
      <c r="P53" s="85">
        <f t="shared" si="8"/>
        <v>-13.063063063063062</v>
      </c>
      <c r="Q53" s="85"/>
    </row>
    <row r="54" spans="1:17" x14ac:dyDescent="0.25">
      <c r="A54" s="100">
        <v>7</v>
      </c>
      <c r="B54" s="31" t="s">
        <v>95</v>
      </c>
      <c r="C54" s="101"/>
      <c r="D54" s="88"/>
      <c r="E54" s="88"/>
      <c r="F54" s="88"/>
      <c r="G54" s="92">
        <f>SUM(G55:G60)</f>
        <v>11.269999999999998</v>
      </c>
      <c r="H54" s="87"/>
      <c r="I54" s="92">
        <f>SUM(I55:I60)</f>
        <v>10.32</v>
      </c>
      <c r="J54" s="109"/>
      <c r="K54" s="118"/>
      <c r="L54" s="164"/>
      <c r="M54" s="131"/>
      <c r="N54" s="93">
        <f t="shared" si="6"/>
        <v>0.94999999999999751</v>
      </c>
      <c r="O54" s="85"/>
      <c r="P54" s="85"/>
      <c r="Q54" s="85"/>
    </row>
    <row r="55" spans="1:17" ht="30" customHeight="1" x14ac:dyDescent="0.25">
      <c r="A55" s="103" t="s">
        <v>411</v>
      </c>
      <c r="B55" s="104" t="s">
        <v>150</v>
      </c>
      <c r="C55" s="106">
        <v>2015</v>
      </c>
      <c r="D55" s="35">
        <v>221</v>
      </c>
      <c r="E55" s="35">
        <v>9</v>
      </c>
      <c r="F55" s="35" t="s">
        <v>28</v>
      </c>
      <c r="G55" s="6">
        <v>3</v>
      </c>
      <c r="H55" s="25">
        <v>1890</v>
      </c>
      <c r="I55" s="7">
        <v>2.72</v>
      </c>
      <c r="J55" s="113">
        <v>1616</v>
      </c>
      <c r="K55" s="118">
        <f t="shared" si="10"/>
        <v>72.792792792792795</v>
      </c>
      <c r="L55" s="46"/>
      <c r="M55" s="133"/>
      <c r="N55" s="91">
        <f t="shared" si="6"/>
        <v>0.2799999999999998</v>
      </c>
      <c r="O55" s="85">
        <f t="shared" si="7"/>
        <v>72.792792792792795</v>
      </c>
      <c r="P55" s="85">
        <f t="shared" si="8"/>
        <v>-2.2072072072072046</v>
      </c>
      <c r="Q55" s="85"/>
    </row>
    <row r="56" spans="1:17" ht="30" customHeight="1" x14ac:dyDescent="0.25">
      <c r="A56" s="103" t="s">
        <v>450</v>
      </c>
      <c r="B56" s="104" t="s">
        <v>151</v>
      </c>
      <c r="C56" s="106">
        <v>2015</v>
      </c>
      <c r="D56" s="35">
        <v>221</v>
      </c>
      <c r="E56" s="35">
        <v>8</v>
      </c>
      <c r="F56" s="35" t="s">
        <v>27</v>
      </c>
      <c r="G56" s="6">
        <v>2.75</v>
      </c>
      <c r="H56" s="25">
        <v>1890</v>
      </c>
      <c r="I56" s="7">
        <v>2.67</v>
      </c>
      <c r="J56" s="113">
        <v>1550</v>
      </c>
      <c r="K56" s="118">
        <f t="shared" si="10"/>
        <v>69.819819819819813</v>
      </c>
      <c r="L56" s="46"/>
      <c r="M56" s="133"/>
      <c r="N56" s="91">
        <f t="shared" si="6"/>
        <v>8.0000000000000071E-2</v>
      </c>
      <c r="O56" s="85">
        <f t="shared" si="7"/>
        <v>69.819819819819813</v>
      </c>
      <c r="P56" s="85">
        <f t="shared" si="8"/>
        <v>-5.1801801801801872</v>
      </c>
      <c r="Q56" s="85"/>
    </row>
    <row r="57" spans="1:17" ht="30" customHeight="1" x14ac:dyDescent="0.25">
      <c r="A57" s="103" t="s">
        <v>484</v>
      </c>
      <c r="B57" s="104" t="s">
        <v>153</v>
      </c>
      <c r="C57" s="106">
        <v>2015</v>
      </c>
      <c r="D57" s="35">
        <v>245</v>
      </c>
      <c r="E57" s="35">
        <v>2</v>
      </c>
      <c r="F57" s="35" t="s">
        <v>56</v>
      </c>
      <c r="G57" s="6">
        <v>2.4500000000000002</v>
      </c>
      <c r="H57" s="25">
        <v>1890</v>
      </c>
      <c r="I57" s="7">
        <v>2.4500000000000002</v>
      </c>
      <c r="J57" s="113">
        <v>1650</v>
      </c>
      <c r="K57" s="118">
        <f t="shared" si="10"/>
        <v>74.324324324324323</v>
      </c>
      <c r="L57" s="46"/>
      <c r="M57" s="133"/>
      <c r="N57" s="91"/>
      <c r="O57" s="85">
        <f t="shared" si="7"/>
        <v>74.324324324324323</v>
      </c>
      <c r="P57" s="85">
        <f t="shared" si="8"/>
        <v>-0.67567567567567721</v>
      </c>
      <c r="Q57" s="85"/>
    </row>
    <row r="58" spans="1:17" ht="30" customHeight="1" x14ac:dyDescent="0.25">
      <c r="A58" s="103" t="s">
        <v>485</v>
      </c>
      <c r="B58" s="104" t="s">
        <v>155</v>
      </c>
      <c r="C58" s="106">
        <v>2015</v>
      </c>
      <c r="D58" s="35">
        <v>236</v>
      </c>
      <c r="E58" s="35">
        <v>1</v>
      </c>
      <c r="F58" s="35" t="s">
        <v>33</v>
      </c>
      <c r="G58" s="6">
        <v>1.52</v>
      </c>
      <c r="H58" s="25">
        <v>1890</v>
      </c>
      <c r="I58" s="7">
        <v>1.17</v>
      </c>
      <c r="J58" s="113">
        <v>1625</v>
      </c>
      <c r="K58" s="118">
        <f t="shared" si="10"/>
        <v>73.198198198198199</v>
      </c>
      <c r="L58" s="46"/>
      <c r="M58" s="133"/>
      <c r="N58" s="91">
        <f t="shared" si="6"/>
        <v>0.35000000000000009</v>
      </c>
      <c r="O58" s="85">
        <f t="shared" si="7"/>
        <v>73.198198198198199</v>
      </c>
      <c r="P58" s="85">
        <f t="shared" si="8"/>
        <v>-1.8018018018018012</v>
      </c>
      <c r="Q58" s="85"/>
    </row>
    <row r="59" spans="1:17" ht="30" customHeight="1" x14ac:dyDescent="0.25">
      <c r="A59" s="103" t="s">
        <v>486</v>
      </c>
      <c r="B59" s="104" t="s">
        <v>158</v>
      </c>
      <c r="C59" s="106">
        <v>2016</v>
      </c>
      <c r="D59" s="35">
        <v>290</v>
      </c>
      <c r="E59" s="35">
        <v>3</v>
      </c>
      <c r="F59" s="35" t="s">
        <v>26</v>
      </c>
      <c r="G59" s="6">
        <v>1.1000000000000001</v>
      </c>
      <c r="H59" s="25">
        <v>1988</v>
      </c>
      <c r="I59" s="7">
        <v>0.86</v>
      </c>
      <c r="J59" s="113">
        <v>1375</v>
      </c>
      <c r="K59" s="118">
        <f t="shared" si="10"/>
        <v>61.936936936936938</v>
      </c>
      <c r="L59" s="46"/>
      <c r="M59" s="133"/>
      <c r="N59" s="91">
        <f t="shared" si="6"/>
        <v>0.2400000000000001</v>
      </c>
      <c r="O59" s="85">
        <f t="shared" si="7"/>
        <v>61.936936936936938</v>
      </c>
      <c r="P59" s="85">
        <f t="shared" si="8"/>
        <v>-13.063063063063062</v>
      </c>
      <c r="Q59" s="85"/>
    </row>
    <row r="60" spans="1:17" ht="30" customHeight="1" x14ac:dyDescent="0.25">
      <c r="A60" s="103" t="s">
        <v>487</v>
      </c>
      <c r="B60" s="104" t="s">
        <v>161</v>
      </c>
      <c r="C60" s="106">
        <v>2017</v>
      </c>
      <c r="D60" s="35">
        <v>290</v>
      </c>
      <c r="E60" s="35">
        <v>8</v>
      </c>
      <c r="F60" s="35" t="s">
        <v>22</v>
      </c>
      <c r="G60" s="6">
        <v>0.45</v>
      </c>
      <c r="H60" s="25">
        <v>1900</v>
      </c>
      <c r="I60" s="7">
        <v>0.45</v>
      </c>
      <c r="J60" s="113">
        <v>1475</v>
      </c>
      <c r="K60" s="118">
        <f t="shared" si="10"/>
        <v>66.441441441441441</v>
      </c>
      <c r="L60" s="46"/>
      <c r="M60" s="133"/>
      <c r="N60" s="91"/>
      <c r="O60" s="85">
        <f t="shared" si="7"/>
        <v>66.441441441441441</v>
      </c>
      <c r="P60" s="85">
        <f t="shared" si="8"/>
        <v>-8.5585585585585591</v>
      </c>
      <c r="Q60" s="85"/>
    </row>
    <row r="61" spans="1:17" ht="15" customHeight="1" x14ac:dyDescent="0.25">
      <c r="A61" s="100">
        <v>8</v>
      </c>
      <c r="B61" s="31" t="s">
        <v>5</v>
      </c>
      <c r="C61" s="101"/>
      <c r="D61" s="88"/>
      <c r="E61" s="88"/>
      <c r="F61" s="88"/>
      <c r="G61" s="92">
        <f>SUM(G62:G66)</f>
        <v>6.9499999999999993</v>
      </c>
      <c r="H61" s="87"/>
      <c r="I61" s="92">
        <f>SUM(I62:I66)</f>
        <v>4.59</v>
      </c>
      <c r="J61" s="111"/>
      <c r="K61" s="118"/>
      <c r="L61" s="165"/>
      <c r="M61" s="132"/>
      <c r="N61" s="93">
        <f t="shared" ref="N61:N84" si="11">G61-I61</f>
        <v>2.3599999999999994</v>
      </c>
      <c r="O61" s="85"/>
      <c r="P61" s="85">
        <f t="shared" ref="P61:P86" si="12">O61-75</f>
        <v>-75</v>
      </c>
      <c r="Q61" s="85"/>
    </row>
    <row r="62" spans="1:17" ht="45" customHeight="1" x14ac:dyDescent="0.25">
      <c r="A62" s="103" t="s">
        <v>451</v>
      </c>
      <c r="B62" s="104" t="s">
        <v>164</v>
      </c>
      <c r="C62" s="106">
        <v>2014</v>
      </c>
      <c r="D62" s="103">
        <v>237</v>
      </c>
      <c r="E62" s="103">
        <v>9</v>
      </c>
      <c r="F62" s="103" t="s">
        <v>37</v>
      </c>
      <c r="G62" s="12">
        <v>1.73</v>
      </c>
      <c r="H62" s="16">
        <v>1900</v>
      </c>
      <c r="I62" s="12">
        <v>1.1499999999999999</v>
      </c>
      <c r="J62" s="112">
        <v>1325</v>
      </c>
      <c r="K62" s="118">
        <f t="shared" si="10"/>
        <v>59.684684684684683</v>
      </c>
      <c r="L62" s="166" t="s">
        <v>58</v>
      </c>
      <c r="M62" s="136"/>
      <c r="N62" s="91">
        <f t="shared" si="11"/>
        <v>0.58000000000000007</v>
      </c>
      <c r="O62" s="85">
        <f t="shared" ref="O62:O85" si="13">J62/2220*100</f>
        <v>59.684684684684683</v>
      </c>
      <c r="P62" s="85">
        <f t="shared" si="12"/>
        <v>-15.315315315315317</v>
      </c>
      <c r="Q62" s="85"/>
    </row>
    <row r="63" spans="1:17" ht="15" customHeight="1" x14ac:dyDescent="0.25">
      <c r="A63" s="198" t="s">
        <v>452</v>
      </c>
      <c r="B63" s="199" t="s">
        <v>175</v>
      </c>
      <c r="C63" s="207">
        <v>2017</v>
      </c>
      <c r="D63" s="103">
        <v>215</v>
      </c>
      <c r="E63" s="103">
        <v>6</v>
      </c>
      <c r="F63" s="103" t="s">
        <v>32</v>
      </c>
      <c r="G63" s="12">
        <v>0.5</v>
      </c>
      <c r="H63" s="16">
        <v>1900</v>
      </c>
      <c r="I63" s="17">
        <v>0.35</v>
      </c>
      <c r="J63" s="112">
        <v>1575</v>
      </c>
      <c r="K63" s="118">
        <f t="shared" si="10"/>
        <v>70.945945945945937</v>
      </c>
      <c r="L63" s="166" t="s">
        <v>64</v>
      </c>
      <c r="M63" s="136"/>
      <c r="N63" s="91">
        <f t="shared" si="11"/>
        <v>0.15000000000000002</v>
      </c>
      <c r="O63" s="85">
        <f t="shared" si="13"/>
        <v>70.945945945945937</v>
      </c>
      <c r="P63" s="85">
        <f t="shared" si="12"/>
        <v>-4.0540540540540633</v>
      </c>
      <c r="Q63" s="85"/>
    </row>
    <row r="64" spans="1:17" ht="15" customHeight="1" x14ac:dyDescent="0.25">
      <c r="A64" s="198"/>
      <c r="B64" s="199"/>
      <c r="C64" s="207"/>
      <c r="D64" s="103">
        <v>216</v>
      </c>
      <c r="E64" s="103">
        <v>4</v>
      </c>
      <c r="F64" s="103" t="s">
        <v>37</v>
      </c>
      <c r="G64" s="12">
        <v>0.5</v>
      </c>
      <c r="H64" s="16">
        <v>1920</v>
      </c>
      <c r="I64" s="14">
        <v>0.5</v>
      </c>
      <c r="J64" s="112">
        <v>1550</v>
      </c>
      <c r="K64" s="118">
        <f t="shared" si="10"/>
        <v>69.819819819819813</v>
      </c>
      <c r="L64" s="166"/>
      <c r="M64" s="136"/>
      <c r="N64" s="91"/>
      <c r="O64" s="85">
        <f t="shared" si="13"/>
        <v>69.819819819819813</v>
      </c>
      <c r="P64" s="85">
        <f t="shared" si="12"/>
        <v>-5.1801801801801872</v>
      </c>
      <c r="Q64" s="85"/>
    </row>
    <row r="65" spans="1:17" ht="15" customHeight="1" x14ac:dyDescent="0.25">
      <c r="A65" s="124" t="s">
        <v>488</v>
      </c>
      <c r="B65" s="123" t="s">
        <v>177</v>
      </c>
      <c r="C65" s="19">
        <v>2017</v>
      </c>
      <c r="D65" s="103">
        <v>215</v>
      </c>
      <c r="E65" s="103">
        <v>6</v>
      </c>
      <c r="F65" s="103" t="s">
        <v>66</v>
      </c>
      <c r="G65" s="12">
        <v>0.88</v>
      </c>
      <c r="H65" s="16">
        <v>1950</v>
      </c>
      <c r="I65" s="14">
        <v>0.88</v>
      </c>
      <c r="J65" s="112">
        <v>1575</v>
      </c>
      <c r="K65" s="118">
        <f t="shared" si="10"/>
        <v>70.945945945945937</v>
      </c>
      <c r="L65" s="166"/>
      <c r="M65" s="136"/>
      <c r="N65" s="91"/>
      <c r="O65" s="85">
        <f t="shared" si="13"/>
        <v>70.945945945945937</v>
      </c>
      <c r="P65" s="85">
        <f t="shared" si="12"/>
        <v>-4.0540540540540633</v>
      </c>
      <c r="Q65" s="85"/>
    </row>
    <row r="66" spans="1:17" ht="30" customHeight="1" x14ac:dyDescent="0.25">
      <c r="A66" s="103" t="s">
        <v>489</v>
      </c>
      <c r="B66" s="104" t="s">
        <v>178</v>
      </c>
      <c r="C66" s="106">
        <v>2018</v>
      </c>
      <c r="D66" s="103">
        <v>237</v>
      </c>
      <c r="E66" s="103">
        <v>7</v>
      </c>
      <c r="F66" s="103" t="s">
        <v>32</v>
      </c>
      <c r="G66" s="12">
        <v>3.34</v>
      </c>
      <c r="H66" s="16">
        <v>1900</v>
      </c>
      <c r="I66" s="14">
        <v>1.71</v>
      </c>
      <c r="J66" s="112">
        <v>1375</v>
      </c>
      <c r="K66" s="118">
        <f t="shared" si="10"/>
        <v>61.936936936936938</v>
      </c>
      <c r="L66" s="166" t="s">
        <v>67</v>
      </c>
      <c r="M66" s="136"/>
      <c r="N66" s="91">
        <f t="shared" si="11"/>
        <v>1.63</v>
      </c>
      <c r="O66" s="85">
        <f t="shared" si="13"/>
        <v>61.936936936936938</v>
      </c>
      <c r="P66" s="85">
        <f t="shared" si="12"/>
        <v>-13.063063063063062</v>
      </c>
      <c r="Q66" s="85"/>
    </row>
    <row r="67" spans="1:17" x14ac:dyDescent="0.25">
      <c r="A67" s="100">
        <v>9</v>
      </c>
      <c r="B67" s="31" t="s">
        <v>3</v>
      </c>
      <c r="C67" s="101"/>
      <c r="D67" s="88"/>
      <c r="E67" s="88"/>
      <c r="F67" s="88"/>
      <c r="G67" s="92">
        <f>SUM(G68:G69)</f>
        <v>4.4700000000000006</v>
      </c>
      <c r="H67" s="87"/>
      <c r="I67" s="92">
        <f>SUM(I68:I69)</f>
        <v>3.63</v>
      </c>
      <c r="J67" s="111"/>
      <c r="K67" s="118"/>
      <c r="L67" s="165"/>
      <c r="M67" s="132"/>
      <c r="N67" s="93">
        <f t="shared" si="11"/>
        <v>0.84000000000000075</v>
      </c>
      <c r="O67" s="85"/>
      <c r="P67" s="85"/>
      <c r="Q67" s="85"/>
    </row>
    <row r="68" spans="1:17" ht="45" customHeight="1" x14ac:dyDescent="0.25">
      <c r="A68" s="103" t="s">
        <v>453</v>
      </c>
      <c r="B68" s="104" t="s">
        <v>184</v>
      </c>
      <c r="C68" s="106">
        <v>2014</v>
      </c>
      <c r="D68" s="103">
        <v>65</v>
      </c>
      <c r="E68" s="103">
        <v>3</v>
      </c>
      <c r="F68" s="103" t="s">
        <v>27</v>
      </c>
      <c r="G68" s="12">
        <v>2.23</v>
      </c>
      <c r="H68" s="16">
        <v>1900</v>
      </c>
      <c r="I68" s="14">
        <v>2.23</v>
      </c>
      <c r="J68" s="112">
        <v>1650</v>
      </c>
      <c r="K68" s="118">
        <f t="shared" si="10"/>
        <v>74.324324324324323</v>
      </c>
      <c r="L68" s="166"/>
      <c r="M68" s="136"/>
      <c r="N68" s="91"/>
      <c r="O68" s="85">
        <f t="shared" si="13"/>
        <v>74.324324324324323</v>
      </c>
      <c r="P68" s="85">
        <f t="shared" si="12"/>
        <v>-0.67567567567567721</v>
      </c>
      <c r="Q68" s="85"/>
    </row>
    <row r="69" spans="1:17" ht="30" customHeight="1" x14ac:dyDescent="0.25">
      <c r="A69" s="103" t="s">
        <v>454</v>
      </c>
      <c r="B69" s="104" t="s">
        <v>337</v>
      </c>
      <c r="C69" s="106">
        <v>2019</v>
      </c>
      <c r="D69" s="103">
        <v>198</v>
      </c>
      <c r="E69" s="103">
        <v>6</v>
      </c>
      <c r="F69" s="103" t="s">
        <v>68</v>
      </c>
      <c r="G69" s="12">
        <v>2.2400000000000002</v>
      </c>
      <c r="H69" s="16">
        <v>2000</v>
      </c>
      <c r="I69" s="17">
        <v>1.4</v>
      </c>
      <c r="J69" s="112">
        <v>1050</v>
      </c>
      <c r="K69" s="118">
        <f t="shared" si="10"/>
        <v>47.297297297297298</v>
      </c>
      <c r="L69" s="170"/>
      <c r="M69" s="137"/>
      <c r="N69" s="91">
        <f t="shared" si="11"/>
        <v>0.8400000000000003</v>
      </c>
      <c r="O69" s="85">
        <f t="shared" si="13"/>
        <v>47.297297297297298</v>
      </c>
      <c r="P69" s="85">
        <f t="shared" si="12"/>
        <v>-27.702702702702702</v>
      </c>
      <c r="Q69" s="85"/>
    </row>
    <row r="70" spans="1:17" ht="28.5" x14ac:dyDescent="0.25">
      <c r="A70" s="100">
        <v>10</v>
      </c>
      <c r="B70" s="31" t="s">
        <v>10</v>
      </c>
      <c r="C70" s="101"/>
      <c r="D70" s="88"/>
      <c r="E70" s="88"/>
      <c r="F70" s="88"/>
      <c r="G70" s="92">
        <f>SUM(G71:G74)</f>
        <v>4</v>
      </c>
      <c r="H70" s="87"/>
      <c r="I70" s="92">
        <f>SUM(I71:I74)</f>
        <v>4</v>
      </c>
      <c r="J70" s="111"/>
      <c r="K70" s="118"/>
      <c r="L70" s="165"/>
      <c r="M70" s="132"/>
      <c r="N70" s="91"/>
      <c r="O70" s="85"/>
      <c r="P70" s="85"/>
      <c r="Q70" s="85"/>
    </row>
    <row r="71" spans="1:17" ht="30" customHeight="1" x14ac:dyDescent="0.25">
      <c r="A71" s="160" t="s">
        <v>455</v>
      </c>
      <c r="B71" s="123" t="s">
        <v>192</v>
      </c>
      <c r="C71" s="45">
        <v>2015</v>
      </c>
      <c r="D71" s="19">
        <v>339</v>
      </c>
      <c r="E71" s="19">
        <v>5</v>
      </c>
      <c r="F71" s="19" t="s">
        <v>68</v>
      </c>
      <c r="G71" s="18">
        <v>2.7</v>
      </c>
      <c r="H71" s="18">
        <v>1900</v>
      </c>
      <c r="I71" s="18">
        <v>2.7</v>
      </c>
      <c r="J71" s="115">
        <v>1650</v>
      </c>
      <c r="K71" s="118">
        <f t="shared" si="10"/>
        <v>74.324324324324323</v>
      </c>
      <c r="L71" s="47" t="s">
        <v>343</v>
      </c>
      <c r="M71" s="142"/>
      <c r="N71" s="91"/>
      <c r="O71" s="85">
        <f t="shared" si="13"/>
        <v>74.324324324324323</v>
      </c>
      <c r="P71" s="85">
        <f t="shared" si="12"/>
        <v>-0.67567567567567721</v>
      </c>
      <c r="Q71" s="85"/>
    </row>
    <row r="72" spans="1:17" ht="15" customHeight="1" x14ac:dyDescent="0.25">
      <c r="A72" s="198" t="s">
        <v>456</v>
      </c>
      <c r="B72" s="199" t="s">
        <v>193</v>
      </c>
      <c r="C72" s="200">
        <v>2017</v>
      </c>
      <c r="D72" s="19">
        <v>317</v>
      </c>
      <c r="E72" s="19">
        <v>8</v>
      </c>
      <c r="F72" s="19" t="s">
        <v>32</v>
      </c>
      <c r="G72" s="18">
        <v>0.3</v>
      </c>
      <c r="H72" s="18">
        <v>1900</v>
      </c>
      <c r="I72" s="18">
        <v>0.3</v>
      </c>
      <c r="J72" s="115">
        <v>1200</v>
      </c>
      <c r="K72" s="118">
        <f t="shared" si="10"/>
        <v>54.054054054054056</v>
      </c>
      <c r="L72" s="47"/>
      <c r="M72" s="138"/>
      <c r="N72" s="91"/>
      <c r="O72" s="85">
        <f t="shared" si="13"/>
        <v>54.054054054054056</v>
      </c>
      <c r="P72" s="85">
        <f t="shared" si="12"/>
        <v>-20.945945945945944</v>
      </c>
      <c r="Q72" s="85"/>
    </row>
    <row r="73" spans="1:17" ht="15" customHeight="1" x14ac:dyDescent="0.25">
      <c r="A73" s="198"/>
      <c r="B73" s="199"/>
      <c r="C73" s="200"/>
      <c r="D73" s="19">
        <v>322</v>
      </c>
      <c r="E73" s="19">
        <v>1</v>
      </c>
      <c r="F73" s="19" t="s">
        <v>32</v>
      </c>
      <c r="G73" s="18">
        <v>0.5</v>
      </c>
      <c r="H73" s="18">
        <v>1900</v>
      </c>
      <c r="I73" s="18">
        <v>0.5</v>
      </c>
      <c r="J73" s="115">
        <v>1600</v>
      </c>
      <c r="K73" s="118">
        <f t="shared" si="10"/>
        <v>72.072072072072075</v>
      </c>
      <c r="L73" s="47"/>
      <c r="M73" s="138"/>
      <c r="N73" s="91"/>
      <c r="O73" s="85">
        <f t="shared" si="13"/>
        <v>72.072072072072075</v>
      </c>
      <c r="P73" s="85">
        <f t="shared" si="12"/>
        <v>-2.9279279279279251</v>
      </c>
      <c r="Q73" s="85"/>
    </row>
    <row r="74" spans="1:17" ht="15" customHeight="1" x14ac:dyDescent="0.25">
      <c r="A74" s="198"/>
      <c r="B74" s="199"/>
      <c r="C74" s="200"/>
      <c r="D74" s="19">
        <v>322</v>
      </c>
      <c r="E74" s="19">
        <v>1</v>
      </c>
      <c r="F74" s="19" t="s">
        <v>62</v>
      </c>
      <c r="G74" s="18">
        <v>0.5</v>
      </c>
      <c r="H74" s="18">
        <v>1900</v>
      </c>
      <c r="I74" s="18">
        <v>0.5</v>
      </c>
      <c r="J74" s="115">
        <v>1600</v>
      </c>
      <c r="K74" s="118">
        <f t="shared" si="10"/>
        <v>72.072072072072075</v>
      </c>
      <c r="L74" s="47"/>
      <c r="M74" s="138"/>
      <c r="N74" s="91"/>
      <c r="O74" s="85">
        <f t="shared" si="13"/>
        <v>72.072072072072075</v>
      </c>
      <c r="P74" s="85">
        <f t="shared" si="12"/>
        <v>-2.9279279279279251</v>
      </c>
      <c r="Q74" s="85"/>
    </row>
    <row r="75" spans="1:17" x14ac:dyDescent="0.25">
      <c r="A75" s="100">
        <v>11</v>
      </c>
      <c r="B75" s="31" t="s">
        <v>8</v>
      </c>
      <c r="C75" s="101"/>
      <c r="D75" s="88"/>
      <c r="E75" s="88"/>
      <c r="F75" s="88"/>
      <c r="G75" s="92">
        <f>SUM(G76:G88)</f>
        <v>22.6</v>
      </c>
      <c r="H75" s="87"/>
      <c r="I75" s="92">
        <f>SUM(I76:I88)</f>
        <v>17.559999999999999</v>
      </c>
      <c r="J75" s="111"/>
      <c r="K75" s="118"/>
      <c r="L75" s="165"/>
      <c r="M75" s="132"/>
      <c r="N75" s="93">
        <f t="shared" si="11"/>
        <v>5.0400000000000027</v>
      </c>
      <c r="O75" s="85"/>
      <c r="P75" s="85"/>
      <c r="Q75" s="85"/>
    </row>
    <row r="76" spans="1:17" ht="45" customHeight="1" x14ac:dyDescent="0.25">
      <c r="A76" s="198" t="s">
        <v>462</v>
      </c>
      <c r="B76" s="199" t="s">
        <v>213</v>
      </c>
      <c r="C76" s="207">
        <v>2015</v>
      </c>
      <c r="D76" s="106">
        <v>667</v>
      </c>
      <c r="E76" s="106">
        <v>7</v>
      </c>
      <c r="F76" s="106" t="s">
        <v>26</v>
      </c>
      <c r="G76" s="19">
        <v>2.5</v>
      </c>
      <c r="H76" s="18">
        <v>2000</v>
      </c>
      <c r="I76" s="42">
        <v>2.5</v>
      </c>
      <c r="J76" s="115">
        <v>1000</v>
      </c>
      <c r="K76" s="118">
        <f t="shared" ref="K76:K88" si="14">J76/2220*100</f>
        <v>45.045045045045043</v>
      </c>
      <c r="L76" s="47" t="s">
        <v>345</v>
      </c>
      <c r="M76" s="138"/>
      <c r="N76" s="91"/>
      <c r="O76" s="85">
        <f t="shared" si="13"/>
        <v>45.045045045045043</v>
      </c>
      <c r="P76" s="85">
        <f t="shared" si="12"/>
        <v>-29.954954954954957</v>
      </c>
      <c r="Q76" s="85">
        <f t="shared" ref="Q76:Q82" si="15">O76-50</f>
        <v>-4.9549549549549567</v>
      </c>
    </row>
    <row r="77" spans="1:17" ht="45" x14ac:dyDescent="0.25">
      <c r="A77" s="198"/>
      <c r="B77" s="199"/>
      <c r="C77" s="207"/>
      <c r="D77" s="125">
        <v>667</v>
      </c>
      <c r="E77" s="125">
        <v>7</v>
      </c>
      <c r="F77" s="125" t="s">
        <v>28</v>
      </c>
      <c r="G77" s="98">
        <v>3</v>
      </c>
      <c r="H77" s="18">
        <v>2000</v>
      </c>
      <c r="I77" s="42">
        <v>0.41</v>
      </c>
      <c r="J77" s="115"/>
      <c r="K77" s="118"/>
      <c r="L77" s="47" t="s">
        <v>346</v>
      </c>
      <c r="M77" s="138"/>
      <c r="N77" s="91"/>
      <c r="O77" s="85"/>
      <c r="P77" s="85"/>
      <c r="Q77" s="85"/>
    </row>
    <row r="78" spans="1:17" ht="15" customHeight="1" x14ac:dyDescent="0.25">
      <c r="A78" s="198"/>
      <c r="B78" s="199"/>
      <c r="C78" s="207"/>
      <c r="D78" s="106">
        <v>667</v>
      </c>
      <c r="E78" s="106">
        <v>7</v>
      </c>
      <c r="F78" s="106" t="s">
        <v>22</v>
      </c>
      <c r="G78" s="19">
        <v>3.3</v>
      </c>
      <c r="H78" s="18">
        <v>1900</v>
      </c>
      <c r="I78" s="42">
        <v>2.78</v>
      </c>
      <c r="J78" s="115">
        <v>1000</v>
      </c>
      <c r="K78" s="118">
        <f t="shared" si="14"/>
        <v>45.045045045045043</v>
      </c>
      <c r="L78" s="47" t="s">
        <v>347</v>
      </c>
      <c r="M78" s="138"/>
      <c r="N78" s="91">
        <f t="shared" si="11"/>
        <v>0.52</v>
      </c>
      <c r="O78" s="85">
        <f t="shared" si="13"/>
        <v>45.045045045045043</v>
      </c>
      <c r="P78" s="85">
        <f t="shared" si="12"/>
        <v>-29.954954954954957</v>
      </c>
      <c r="Q78" s="85">
        <f t="shared" si="15"/>
        <v>-4.9549549549549567</v>
      </c>
    </row>
    <row r="79" spans="1:17" ht="30" customHeight="1" x14ac:dyDescent="0.25">
      <c r="A79" s="103" t="s">
        <v>463</v>
      </c>
      <c r="B79" s="104" t="s">
        <v>214</v>
      </c>
      <c r="C79" s="106">
        <v>2015</v>
      </c>
      <c r="D79" s="106">
        <v>670</v>
      </c>
      <c r="E79" s="106">
        <v>4</v>
      </c>
      <c r="F79" s="106" t="s">
        <v>26</v>
      </c>
      <c r="G79" s="19">
        <v>1.1000000000000001</v>
      </c>
      <c r="H79" s="18">
        <v>2000</v>
      </c>
      <c r="I79" s="42">
        <v>1</v>
      </c>
      <c r="J79" s="115">
        <v>1000</v>
      </c>
      <c r="K79" s="118">
        <f t="shared" si="14"/>
        <v>45.045045045045043</v>
      </c>
      <c r="L79" s="47" t="s">
        <v>348</v>
      </c>
      <c r="M79" s="138"/>
      <c r="N79" s="91">
        <f t="shared" si="11"/>
        <v>0.10000000000000009</v>
      </c>
      <c r="O79" s="85">
        <f t="shared" si="13"/>
        <v>45.045045045045043</v>
      </c>
      <c r="P79" s="85">
        <f t="shared" si="12"/>
        <v>-29.954954954954957</v>
      </c>
      <c r="Q79" s="85">
        <f t="shared" si="15"/>
        <v>-4.9549549549549567</v>
      </c>
    </row>
    <row r="80" spans="1:17" ht="15" customHeight="1" x14ac:dyDescent="0.25">
      <c r="A80" s="198" t="s">
        <v>464</v>
      </c>
      <c r="B80" s="199" t="s">
        <v>218</v>
      </c>
      <c r="C80" s="207">
        <v>2015</v>
      </c>
      <c r="D80" s="106">
        <v>348</v>
      </c>
      <c r="E80" s="106">
        <v>1</v>
      </c>
      <c r="F80" s="106" t="s">
        <v>26</v>
      </c>
      <c r="G80" s="19">
        <v>3.1</v>
      </c>
      <c r="H80" s="18">
        <v>2100</v>
      </c>
      <c r="I80" s="42">
        <v>2.92</v>
      </c>
      <c r="J80" s="115">
        <v>1450</v>
      </c>
      <c r="K80" s="118">
        <f t="shared" si="14"/>
        <v>65.315315315315317</v>
      </c>
      <c r="L80" s="47" t="s">
        <v>350</v>
      </c>
      <c r="M80" s="138"/>
      <c r="N80" s="91">
        <f t="shared" si="11"/>
        <v>0.18000000000000016</v>
      </c>
      <c r="O80" s="85">
        <f t="shared" si="13"/>
        <v>65.315315315315317</v>
      </c>
      <c r="P80" s="85">
        <f t="shared" si="12"/>
        <v>-9.684684684684683</v>
      </c>
      <c r="Q80" s="85"/>
    </row>
    <row r="81" spans="1:17" ht="15" customHeight="1" x14ac:dyDescent="0.25">
      <c r="A81" s="198"/>
      <c r="B81" s="199"/>
      <c r="C81" s="207"/>
      <c r="D81" s="106">
        <v>348</v>
      </c>
      <c r="E81" s="106">
        <v>1</v>
      </c>
      <c r="F81" s="106" t="s">
        <v>28</v>
      </c>
      <c r="G81" s="19">
        <v>1.9</v>
      </c>
      <c r="H81" s="18">
        <v>1900</v>
      </c>
      <c r="I81" s="42">
        <v>1.5</v>
      </c>
      <c r="J81" s="115">
        <v>1000</v>
      </c>
      <c r="K81" s="118">
        <f t="shared" si="14"/>
        <v>45.045045045045043</v>
      </c>
      <c r="L81" s="47" t="s">
        <v>351</v>
      </c>
      <c r="M81" s="138"/>
      <c r="N81" s="91">
        <f t="shared" si="11"/>
        <v>0.39999999999999991</v>
      </c>
      <c r="O81" s="85">
        <f t="shared" si="13"/>
        <v>45.045045045045043</v>
      </c>
      <c r="P81" s="85">
        <f t="shared" si="12"/>
        <v>-29.954954954954957</v>
      </c>
      <c r="Q81" s="85">
        <f t="shared" si="15"/>
        <v>-4.9549549549549567</v>
      </c>
    </row>
    <row r="82" spans="1:17" ht="30" x14ac:dyDescent="0.25">
      <c r="A82" s="217" t="s">
        <v>465</v>
      </c>
      <c r="B82" s="204" t="s">
        <v>222</v>
      </c>
      <c r="C82" s="215">
        <v>2016</v>
      </c>
      <c r="D82" s="106" t="s">
        <v>85</v>
      </c>
      <c r="E82" s="106">
        <v>2</v>
      </c>
      <c r="F82" s="106" t="s">
        <v>28</v>
      </c>
      <c r="G82" s="19">
        <v>1.2</v>
      </c>
      <c r="H82" s="18">
        <v>1950</v>
      </c>
      <c r="I82" s="42">
        <v>0.98</v>
      </c>
      <c r="J82" s="115"/>
      <c r="K82" s="118"/>
      <c r="L82" s="47" t="s">
        <v>352</v>
      </c>
      <c r="M82" s="138"/>
      <c r="N82" s="91">
        <f t="shared" si="11"/>
        <v>0.21999999999999997</v>
      </c>
      <c r="O82" s="85">
        <f t="shared" si="13"/>
        <v>0</v>
      </c>
      <c r="P82" s="85">
        <f t="shared" si="12"/>
        <v>-75</v>
      </c>
      <c r="Q82" s="85">
        <f t="shared" si="15"/>
        <v>-50</v>
      </c>
    </row>
    <row r="83" spans="1:17" x14ac:dyDescent="0.25">
      <c r="A83" s="218"/>
      <c r="B83" s="205"/>
      <c r="C83" s="216"/>
      <c r="D83" s="125" t="s">
        <v>85</v>
      </c>
      <c r="E83" s="125">
        <v>4</v>
      </c>
      <c r="F83" s="125" t="s">
        <v>68</v>
      </c>
      <c r="G83" s="19">
        <v>0.6</v>
      </c>
      <c r="H83" s="18">
        <v>1900</v>
      </c>
      <c r="I83" s="42">
        <v>0.6</v>
      </c>
      <c r="J83" s="115"/>
      <c r="K83" s="118"/>
      <c r="L83" s="47"/>
      <c r="M83" s="138"/>
      <c r="N83" s="91"/>
      <c r="O83" s="85"/>
      <c r="P83" s="85"/>
      <c r="Q83" s="85"/>
    </row>
    <row r="84" spans="1:17" ht="15" customHeight="1" x14ac:dyDescent="0.25">
      <c r="A84" s="206" t="s">
        <v>466</v>
      </c>
      <c r="B84" s="199" t="s">
        <v>226</v>
      </c>
      <c r="C84" s="207">
        <v>2017</v>
      </c>
      <c r="D84" s="106" t="s">
        <v>86</v>
      </c>
      <c r="E84" s="106">
        <v>4</v>
      </c>
      <c r="F84" s="106" t="s">
        <v>28</v>
      </c>
      <c r="G84" s="19">
        <v>1.7</v>
      </c>
      <c r="H84" s="18">
        <v>1900</v>
      </c>
      <c r="I84" s="42">
        <v>0.67</v>
      </c>
      <c r="J84" s="115">
        <v>1200</v>
      </c>
      <c r="K84" s="118">
        <f t="shared" si="14"/>
        <v>54.054054054054056</v>
      </c>
      <c r="L84" s="47" t="s">
        <v>354</v>
      </c>
      <c r="M84" s="138"/>
      <c r="N84" s="91">
        <f t="shared" si="11"/>
        <v>1.0299999999999998</v>
      </c>
      <c r="O84" s="85">
        <f t="shared" si="13"/>
        <v>54.054054054054056</v>
      </c>
      <c r="P84" s="85">
        <f t="shared" si="12"/>
        <v>-20.945945945945944</v>
      </c>
      <c r="Q84" s="85"/>
    </row>
    <row r="85" spans="1:17" ht="15" customHeight="1" x14ac:dyDescent="0.25">
      <c r="A85" s="206"/>
      <c r="B85" s="199"/>
      <c r="C85" s="207"/>
      <c r="D85" s="106" t="s">
        <v>86</v>
      </c>
      <c r="E85" s="106">
        <v>4</v>
      </c>
      <c r="F85" s="106" t="s">
        <v>26</v>
      </c>
      <c r="G85" s="19">
        <v>0.9</v>
      </c>
      <c r="H85" s="18">
        <v>1900</v>
      </c>
      <c r="I85" s="42">
        <v>0.9</v>
      </c>
      <c r="J85" s="115">
        <v>1575</v>
      </c>
      <c r="K85" s="118">
        <f t="shared" si="14"/>
        <v>70.945945945945937</v>
      </c>
      <c r="L85" s="47"/>
      <c r="M85" s="139"/>
      <c r="N85" s="91"/>
      <c r="O85" s="85">
        <f t="shared" si="13"/>
        <v>70.945945945945937</v>
      </c>
      <c r="P85" s="85">
        <f t="shared" si="12"/>
        <v>-4.0540540540540633</v>
      </c>
      <c r="Q85" s="85"/>
    </row>
    <row r="86" spans="1:17" ht="15" customHeight="1" x14ac:dyDescent="0.25">
      <c r="A86" s="206"/>
      <c r="B86" s="199"/>
      <c r="C86" s="207"/>
      <c r="D86" s="106" t="s">
        <v>84</v>
      </c>
      <c r="E86" s="106">
        <v>1</v>
      </c>
      <c r="F86" s="106" t="s">
        <v>27</v>
      </c>
      <c r="G86" s="19">
        <v>1.8</v>
      </c>
      <c r="H86" s="18">
        <v>1900</v>
      </c>
      <c r="I86" s="42">
        <v>1.8</v>
      </c>
      <c r="J86" s="115">
        <v>1250</v>
      </c>
      <c r="K86" s="118">
        <f t="shared" si="14"/>
        <v>56.306306306306311</v>
      </c>
      <c r="L86" s="47"/>
      <c r="M86" s="139"/>
      <c r="N86" s="91"/>
      <c r="O86" s="85">
        <f t="shared" ref="O86:O88" si="16">J86/2220*100</f>
        <v>56.306306306306311</v>
      </c>
      <c r="P86" s="85">
        <f t="shared" si="12"/>
        <v>-18.693693693693689</v>
      </c>
      <c r="Q86" s="85"/>
    </row>
    <row r="87" spans="1:17" ht="15" customHeight="1" x14ac:dyDescent="0.25">
      <c r="A87" s="206"/>
      <c r="B87" s="199"/>
      <c r="C87" s="207"/>
      <c r="D87" s="106">
        <v>268</v>
      </c>
      <c r="E87" s="106">
        <v>1</v>
      </c>
      <c r="F87" s="106" t="s">
        <v>66</v>
      </c>
      <c r="G87" s="19">
        <v>0.9</v>
      </c>
      <c r="H87" s="18">
        <v>1900</v>
      </c>
      <c r="I87" s="42">
        <v>0.9</v>
      </c>
      <c r="J87" s="115">
        <v>1525</v>
      </c>
      <c r="K87" s="118">
        <f t="shared" si="14"/>
        <v>68.693693693693689</v>
      </c>
      <c r="L87" s="47"/>
      <c r="M87" s="139"/>
      <c r="N87" s="91"/>
      <c r="O87" s="85">
        <f t="shared" si="16"/>
        <v>68.693693693693689</v>
      </c>
      <c r="P87" s="85">
        <f t="shared" ref="P87:P91" si="17">O87-75</f>
        <v>-6.3063063063063112</v>
      </c>
      <c r="Q87" s="85"/>
    </row>
    <row r="88" spans="1:17" ht="15" customHeight="1" x14ac:dyDescent="0.25">
      <c r="A88" s="128" t="s">
        <v>467</v>
      </c>
      <c r="B88" s="123" t="s">
        <v>227</v>
      </c>
      <c r="C88" s="19">
        <v>2018</v>
      </c>
      <c r="D88" s="106">
        <v>670</v>
      </c>
      <c r="E88" s="106">
        <v>3</v>
      </c>
      <c r="F88" s="106" t="s">
        <v>88</v>
      </c>
      <c r="G88" s="19">
        <v>0.6</v>
      </c>
      <c r="H88" s="18">
        <v>1850</v>
      </c>
      <c r="I88" s="42">
        <v>0.6</v>
      </c>
      <c r="J88" s="115">
        <v>1625</v>
      </c>
      <c r="K88" s="118">
        <f t="shared" si="14"/>
        <v>73.198198198198199</v>
      </c>
      <c r="L88" s="47"/>
      <c r="M88" s="139"/>
      <c r="N88" s="91"/>
      <c r="O88" s="85">
        <f t="shared" si="16"/>
        <v>73.198198198198199</v>
      </c>
      <c r="P88" s="85">
        <f t="shared" si="17"/>
        <v>-1.8018018018018012</v>
      </c>
      <c r="Q88" s="85"/>
    </row>
    <row r="89" spans="1:17" x14ac:dyDescent="0.25">
      <c r="A89" s="100">
        <v>12</v>
      </c>
      <c r="B89" s="31" t="s">
        <v>99</v>
      </c>
      <c r="C89" s="101"/>
      <c r="D89" s="88"/>
      <c r="E89" s="88"/>
      <c r="F89" s="88"/>
      <c r="G89" s="92">
        <f>SUM(G90:G91)</f>
        <v>8.17</v>
      </c>
      <c r="H89" s="87"/>
      <c r="I89" s="92">
        <f>SUM(I90:I91)</f>
        <v>7.05</v>
      </c>
      <c r="J89" s="111"/>
      <c r="K89" s="118"/>
      <c r="L89" s="165"/>
      <c r="M89" s="132"/>
      <c r="N89" s="91"/>
      <c r="O89" s="85"/>
      <c r="P89" s="85"/>
      <c r="Q89" s="85"/>
    </row>
    <row r="90" spans="1:17" ht="30" customHeight="1" x14ac:dyDescent="0.25">
      <c r="A90" s="198" t="s">
        <v>472</v>
      </c>
      <c r="B90" s="199" t="s">
        <v>258</v>
      </c>
      <c r="C90" s="213">
        <v>2015</v>
      </c>
      <c r="D90" s="106">
        <v>602</v>
      </c>
      <c r="E90" s="106">
        <v>2</v>
      </c>
      <c r="F90" s="106" t="s">
        <v>89</v>
      </c>
      <c r="G90" s="42">
        <v>3.76</v>
      </c>
      <c r="H90" s="18">
        <v>650</v>
      </c>
      <c r="I90" s="42">
        <f>3.76-0.14</f>
        <v>3.6199999999999997</v>
      </c>
      <c r="J90" s="115">
        <v>446</v>
      </c>
      <c r="K90" s="129">
        <f>J90/833*100</f>
        <v>53.541416566626651</v>
      </c>
      <c r="L90" s="47" t="s">
        <v>90</v>
      </c>
      <c r="M90" s="138"/>
      <c r="N90" s="91">
        <v>0.14000000000000001</v>
      </c>
      <c r="O90" s="85">
        <f>J90/833*100</f>
        <v>53.541416566626651</v>
      </c>
      <c r="P90" s="85">
        <f t="shared" si="17"/>
        <v>-21.458583433373349</v>
      </c>
      <c r="Q90" s="85"/>
    </row>
    <row r="91" spans="1:17" ht="135.75" customHeight="1" x14ac:dyDescent="0.25">
      <c r="A91" s="198"/>
      <c r="B91" s="199"/>
      <c r="C91" s="214"/>
      <c r="D91" s="106">
        <v>603</v>
      </c>
      <c r="E91" s="106">
        <v>4</v>
      </c>
      <c r="F91" s="106" t="s">
        <v>32</v>
      </c>
      <c r="G91" s="42">
        <v>4.41</v>
      </c>
      <c r="H91" s="18">
        <v>650</v>
      </c>
      <c r="I91" s="42">
        <f>4.41-0.98</f>
        <v>3.43</v>
      </c>
      <c r="J91" s="115">
        <v>286</v>
      </c>
      <c r="K91" s="129">
        <f>J91/833*100</f>
        <v>34.333733493397361</v>
      </c>
      <c r="L91" s="171" t="s">
        <v>362</v>
      </c>
      <c r="M91" s="143"/>
      <c r="N91" s="91"/>
      <c r="O91" s="85">
        <f>J91/833*100</f>
        <v>34.333733493397361</v>
      </c>
      <c r="P91" s="85">
        <f t="shared" si="17"/>
        <v>-40.666266506602639</v>
      </c>
      <c r="Q91" s="85">
        <f t="shared" ref="Q91" si="18">O91-50</f>
        <v>-15.666266506602639</v>
      </c>
    </row>
  </sheetData>
  <autoFilter ref="A4:R91"/>
  <mergeCells count="53">
    <mergeCell ref="B72:B74"/>
    <mergeCell ref="C72:C74"/>
    <mergeCell ref="A5:B5"/>
    <mergeCell ref="B19:F19"/>
    <mergeCell ref="B6:F6"/>
    <mergeCell ref="A8:A9"/>
    <mergeCell ref="A50:A51"/>
    <mergeCell ref="B50:B51"/>
    <mergeCell ref="C50:C51"/>
    <mergeCell ref="A30:A31"/>
    <mergeCell ref="B30:B31"/>
    <mergeCell ref="C30:C31"/>
    <mergeCell ref="B8:B9"/>
    <mergeCell ref="C8:C9"/>
    <mergeCell ref="A24:A25"/>
    <mergeCell ref="B24:B25"/>
    <mergeCell ref="A1:L1"/>
    <mergeCell ref="A2:L2"/>
    <mergeCell ref="A3:A4"/>
    <mergeCell ref="B3:B4"/>
    <mergeCell ref="L3:L4"/>
    <mergeCell ref="C3:C4"/>
    <mergeCell ref="D3:H3"/>
    <mergeCell ref="I3:K3"/>
    <mergeCell ref="C24:C25"/>
    <mergeCell ref="A33:A34"/>
    <mergeCell ref="B33:B34"/>
    <mergeCell ref="C33:C34"/>
    <mergeCell ref="A38:A40"/>
    <mergeCell ref="B38:B40"/>
    <mergeCell ref="C38:C40"/>
    <mergeCell ref="B82:B83"/>
    <mergeCell ref="C82:C83"/>
    <mergeCell ref="A82:A83"/>
    <mergeCell ref="A47:A49"/>
    <mergeCell ref="B47:B49"/>
    <mergeCell ref="C47:C49"/>
    <mergeCell ref="A80:A81"/>
    <mergeCell ref="B80:B81"/>
    <mergeCell ref="C80:C81"/>
    <mergeCell ref="A63:A64"/>
    <mergeCell ref="B63:B64"/>
    <mergeCell ref="C63:C64"/>
    <mergeCell ref="A76:A78"/>
    <mergeCell ref="B76:B78"/>
    <mergeCell ref="C76:C78"/>
    <mergeCell ref="A72:A74"/>
    <mergeCell ref="A90:A91"/>
    <mergeCell ref="B90:B91"/>
    <mergeCell ref="C90:C91"/>
    <mergeCell ref="A84:A87"/>
    <mergeCell ref="B84:B87"/>
    <mergeCell ref="C84:C87"/>
  </mergeCells>
  <printOptions horizontalCentered="1"/>
  <pageMargins left="0.45" right="0.45" top="0.5" bottom="0.5" header="0.3" footer="0.3"/>
  <pageSetup paperSize="9" orientation="landscape" r:id="rId1"/>
  <headerFoot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zoomScale="118" zoomScaleNormal="118" workbookViewId="0">
      <selection activeCell="M10" sqref="M10"/>
    </sheetView>
  </sheetViews>
  <sheetFormatPr defaultRowHeight="15" x14ac:dyDescent="0.25"/>
  <cols>
    <col min="1" max="1" width="6" style="74" customWidth="1"/>
    <col min="2" max="2" width="35.85546875" style="74" customWidth="1"/>
    <col min="3" max="3" width="6.28515625" style="74" bestFit="1" customWidth="1"/>
    <col min="4" max="4" width="6" style="74" customWidth="1"/>
    <col min="5" max="5" width="4.140625" style="74" bestFit="1" customWidth="1"/>
    <col min="6" max="6" width="5" style="74" bestFit="1" customWidth="1"/>
    <col min="7" max="7" width="9.140625" style="74"/>
    <col min="8" max="8" width="8.140625" style="74" customWidth="1"/>
    <col min="9" max="9" width="10.5703125" style="74" customWidth="1"/>
    <col min="10" max="10" width="8.42578125" style="74" customWidth="1"/>
    <col min="11" max="11" width="8.140625" style="74" customWidth="1"/>
    <col min="12" max="12" width="29" style="74" customWidth="1"/>
    <col min="13" max="13" width="4.28515625" style="74" customWidth="1"/>
    <col min="14" max="236" width="9.140625" style="74"/>
    <col min="237" max="237" width="4.5703125" style="74" customWidth="1"/>
    <col min="238" max="238" width="13.7109375" style="74" customWidth="1"/>
    <col min="239" max="239" width="19" style="74" customWidth="1"/>
    <col min="240" max="240" width="6.42578125" style="74" customWidth="1"/>
    <col min="241" max="241" width="4.140625" style="74" bestFit="1" customWidth="1"/>
    <col min="242" max="242" width="3.85546875" style="74" customWidth="1"/>
    <col min="243" max="243" width="7.42578125" style="74" customWidth="1"/>
    <col min="244" max="244" width="7.28515625" style="74" customWidth="1"/>
    <col min="245" max="245" width="5.85546875" style="74" bestFit="1" customWidth="1"/>
    <col min="246" max="246" width="9.7109375" style="74" customWidth="1"/>
    <col min="247" max="247" width="7.7109375" style="74" customWidth="1"/>
    <col min="248" max="248" width="5.85546875" style="74" bestFit="1" customWidth="1"/>
    <col min="249" max="249" width="32" style="74" customWidth="1"/>
    <col min="250" max="492" width="9.140625" style="74"/>
    <col min="493" max="493" width="4.5703125" style="74" customWidth="1"/>
    <col min="494" max="494" width="13.7109375" style="74" customWidth="1"/>
    <col min="495" max="495" width="19" style="74" customWidth="1"/>
    <col min="496" max="496" width="6.42578125" style="74" customWidth="1"/>
    <col min="497" max="497" width="4.140625" style="74" bestFit="1" customWidth="1"/>
    <col min="498" max="498" width="3.85546875" style="74" customWidth="1"/>
    <col min="499" max="499" width="7.42578125" style="74" customWidth="1"/>
    <col min="500" max="500" width="7.28515625" style="74" customWidth="1"/>
    <col min="501" max="501" width="5.85546875" style="74" bestFit="1" customWidth="1"/>
    <col min="502" max="502" width="9.7109375" style="74" customWidth="1"/>
    <col min="503" max="503" width="7.7109375" style="74" customWidth="1"/>
    <col min="504" max="504" width="5.85546875" style="74" bestFit="1" customWidth="1"/>
    <col min="505" max="505" width="32" style="74" customWidth="1"/>
    <col min="506" max="748" width="9.140625" style="74"/>
    <col min="749" max="749" width="4.5703125" style="74" customWidth="1"/>
    <col min="750" max="750" width="13.7109375" style="74" customWidth="1"/>
    <col min="751" max="751" width="19" style="74" customWidth="1"/>
    <col min="752" max="752" width="6.42578125" style="74" customWidth="1"/>
    <col min="753" max="753" width="4.140625" style="74" bestFit="1" customWidth="1"/>
    <col min="754" max="754" width="3.85546875" style="74" customWidth="1"/>
    <col min="755" max="755" width="7.42578125" style="74" customWidth="1"/>
    <col min="756" max="756" width="7.28515625" style="74" customWidth="1"/>
    <col min="757" max="757" width="5.85546875" style="74" bestFit="1" customWidth="1"/>
    <col min="758" max="758" width="9.7109375" style="74" customWidth="1"/>
    <col min="759" max="759" width="7.7109375" style="74" customWidth="1"/>
    <col min="760" max="760" width="5.85546875" style="74" bestFit="1" customWidth="1"/>
    <col min="761" max="761" width="32" style="74" customWidth="1"/>
    <col min="762" max="1004" width="9.140625" style="74"/>
    <col min="1005" max="1005" width="4.5703125" style="74" customWidth="1"/>
    <col min="1006" max="1006" width="13.7109375" style="74" customWidth="1"/>
    <col min="1007" max="1007" width="19" style="74" customWidth="1"/>
    <col min="1008" max="1008" width="6.42578125" style="74" customWidth="1"/>
    <col min="1009" max="1009" width="4.140625" style="74" bestFit="1" customWidth="1"/>
    <col min="1010" max="1010" width="3.85546875" style="74" customWidth="1"/>
    <col min="1011" max="1011" width="7.42578125" style="74" customWidth="1"/>
    <col min="1012" max="1012" width="7.28515625" style="74" customWidth="1"/>
    <col min="1013" max="1013" width="5.85546875" style="74" bestFit="1" customWidth="1"/>
    <col min="1014" max="1014" width="9.7109375" style="74" customWidth="1"/>
    <col min="1015" max="1015" width="7.7109375" style="74" customWidth="1"/>
    <col min="1016" max="1016" width="5.85546875" style="74" bestFit="1" customWidth="1"/>
    <col min="1017" max="1017" width="32" style="74" customWidth="1"/>
    <col min="1018" max="1260" width="9.140625" style="74"/>
    <col min="1261" max="1261" width="4.5703125" style="74" customWidth="1"/>
    <col min="1262" max="1262" width="13.7109375" style="74" customWidth="1"/>
    <col min="1263" max="1263" width="19" style="74" customWidth="1"/>
    <col min="1264" max="1264" width="6.42578125" style="74" customWidth="1"/>
    <col min="1265" max="1265" width="4.140625" style="74" bestFit="1" customWidth="1"/>
    <col min="1266" max="1266" width="3.85546875" style="74" customWidth="1"/>
    <col min="1267" max="1267" width="7.42578125" style="74" customWidth="1"/>
    <col min="1268" max="1268" width="7.28515625" style="74" customWidth="1"/>
    <col min="1269" max="1269" width="5.85546875" style="74" bestFit="1" customWidth="1"/>
    <col min="1270" max="1270" width="9.7109375" style="74" customWidth="1"/>
    <col min="1271" max="1271" width="7.7109375" style="74" customWidth="1"/>
    <col min="1272" max="1272" width="5.85546875" style="74" bestFit="1" customWidth="1"/>
    <col min="1273" max="1273" width="32" style="74" customWidth="1"/>
    <col min="1274" max="1516" width="9.140625" style="74"/>
    <col min="1517" max="1517" width="4.5703125" style="74" customWidth="1"/>
    <col min="1518" max="1518" width="13.7109375" style="74" customWidth="1"/>
    <col min="1519" max="1519" width="19" style="74" customWidth="1"/>
    <col min="1520" max="1520" width="6.42578125" style="74" customWidth="1"/>
    <col min="1521" max="1521" width="4.140625" style="74" bestFit="1" customWidth="1"/>
    <col min="1522" max="1522" width="3.85546875" style="74" customWidth="1"/>
    <col min="1523" max="1523" width="7.42578125" style="74" customWidth="1"/>
    <col min="1524" max="1524" width="7.28515625" style="74" customWidth="1"/>
    <col min="1525" max="1525" width="5.85546875" style="74" bestFit="1" customWidth="1"/>
    <col min="1526" max="1526" width="9.7109375" style="74" customWidth="1"/>
    <col min="1527" max="1527" width="7.7109375" style="74" customWidth="1"/>
    <col min="1528" max="1528" width="5.85546875" style="74" bestFit="1" customWidth="1"/>
    <col min="1529" max="1529" width="32" style="74" customWidth="1"/>
    <col min="1530" max="1772" width="9.140625" style="74"/>
    <col min="1773" max="1773" width="4.5703125" style="74" customWidth="1"/>
    <col min="1774" max="1774" width="13.7109375" style="74" customWidth="1"/>
    <col min="1775" max="1775" width="19" style="74" customWidth="1"/>
    <col min="1776" max="1776" width="6.42578125" style="74" customWidth="1"/>
    <col min="1777" max="1777" width="4.140625" style="74" bestFit="1" customWidth="1"/>
    <col min="1778" max="1778" width="3.85546875" style="74" customWidth="1"/>
    <col min="1779" max="1779" width="7.42578125" style="74" customWidth="1"/>
    <col min="1780" max="1780" width="7.28515625" style="74" customWidth="1"/>
    <col min="1781" max="1781" width="5.85546875" style="74" bestFit="1" customWidth="1"/>
    <col min="1782" max="1782" width="9.7109375" style="74" customWidth="1"/>
    <col min="1783" max="1783" width="7.7109375" style="74" customWidth="1"/>
    <col min="1784" max="1784" width="5.85546875" style="74" bestFit="1" customWidth="1"/>
    <col min="1785" max="1785" width="32" style="74" customWidth="1"/>
    <col min="1786" max="2028" width="9.140625" style="74"/>
    <col min="2029" max="2029" width="4.5703125" style="74" customWidth="1"/>
    <col min="2030" max="2030" width="13.7109375" style="74" customWidth="1"/>
    <col min="2031" max="2031" width="19" style="74" customWidth="1"/>
    <col min="2032" max="2032" width="6.42578125" style="74" customWidth="1"/>
    <col min="2033" max="2033" width="4.140625" style="74" bestFit="1" customWidth="1"/>
    <col min="2034" max="2034" width="3.85546875" style="74" customWidth="1"/>
    <col min="2035" max="2035" width="7.42578125" style="74" customWidth="1"/>
    <col min="2036" max="2036" width="7.28515625" style="74" customWidth="1"/>
    <col min="2037" max="2037" width="5.85546875" style="74" bestFit="1" customWidth="1"/>
    <col min="2038" max="2038" width="9.7109375" style="74" customWidth="1"/>
    <col min="2039" max="2039" width="7.7109375" style="74" customWidth="1"/>
    <col min="2040" max="2040" width="5.85546875" style="74" bestFit="1" customWidth="1"/>
    <col min="2041" max="2041" width="32" style="74" customWidth="1"/>
    <col min="2042" max="2284" width="9.140625" style="74"/>
    <col min="2285" max="2285" width="4.5703125" style="74" customWidth="1"/>
    <col min="2286" max="2286" width="13.7109375" style="74" customWidth="1"/>
    <col min="2287" max="2287" width="19" style="74" customWidth="1"/>
    <col min="2288" max="2288" width="6.42578125" style="74" customWidth="1"/>
    <col min="2289" max="2289" width="4.140625" style="74" bestFit="1" customWidth="1"/>
    <col min="2290" max="2290" width="3.85546875" style="74" customWidth="1"/>
    <col min="2291" max="2291" width="7.42578125" style="74" customWidth="1"/>
    <col min="2292" max="2292" width="7.28515625" style="74" customWidth="1"/>
    <col min="2293" max="2293" width="5.85546875" style="74" bestFit="1" customWidth="1"/>
    <col min="2294" max="2294" width="9.7109375" style="74" customWidth="1"/>
    <col min="2295" max="2295" width="7.7109375" style="74" customWidth="1"/>
    <col min="2296" max="2296" width="5.85546875" style="74" bestFit="1" customWidth="1"/>
    <col min="2297" max="2297" width="32" style="74" customWidth="1"/>
    <col min="2298" max="2540" width="9.140625" style="74"/>
    <col min="2541" max="2541" width="4.5703125" style="74" customWidth="1"/>
    <col min="2542" max="2542" width="13.7109375" style="74" customWidth="1"/>
    <col min="2543" max="2543" width="19" style="74" customWidth="1"/>
    <col min="2544" max="2544" width="6.42578125" style="74" customWidth="1"/>
    <col min="2545" max="2545" width="4.140625" style="74" bestFit="1" customWidth="1"/>
    <col min="2546" max="2546" width="3.85546875" style="74" customWidth="1"/>
    <col min="2547" max="2547" width="7.42578125" style="74" customWidth="1"/>
    <col min="2548" max="2548" width="7.28515625" style="74" customWidth="1"/>
    <col min="2549" max="2549" width="5.85546875" style="74" bestFit="1" customWidth="1"/>
    <col min="2550" max="2550" width="9.7109375" style="74" customWidth="1"/>
    <col min="2551" max="2551" width="7.7109375" style="74" customWidth="1"/>
    <col min="2552" max="2552" width="5.85546875" style="74" bestFit="1" customWidth="1"/>
    <col min="2553" max="2553" width="32" style="74" customWidth="1"/>
    <col min="2554" max="2796" width="9.140625" style="74"/>
    <col min="2797" max="2797" width="4.5703125" style="74" customWidth="1"/>
    <col min="2798" max="2798" width="13.7109375" style="74" customWidth="1"/>
    <col min="2799" max="2799" width="19" style="74" customWidth="1"/>
    <col min="2800" max="2800" width="6.42578125" style="74" customWidth="1"/>
    <col min="2801" max="2801" width="4.140625" style="74" bestFit="1" customWidth="1"/>
    <col min="2802" max="2802" width="3.85546875" style="74" customWidth="1"/>
    <col min="2803" max="2803" width="7.42578125" style="74" customWidth="1"/>
    <col min="2804" max="2804" width="7.28515625" style="74" customWidth="1"/>
    <col min="2805" max="2805" width="5.85546875" style="74" bestFit="1" customWidth="1"/>
    <col min="2806" max="2806" width="9.7109375" style="74" customWidth="1"/>
    <col min="2807" max="2807" width="7.7109375" style="74" customWidth="1"/>
    <col min="2808" max="2808" width="5.85546875" style="74" bestFit="1" customWidth="1"/>
    <col min="2809" max="2809" width="32" style="74" customWidth="1"/>
    <col min="2810" max="3052" width="9.140625" style="74"/>
    <col min="3053" max="3053" width="4.5703125" style="74" customWidth="1"/>
    <col min="3054" max="3054" width="13.7109375" style="74" customWidth="1"/>
    <col min="3055" max="3055" width="19" style="74" customWidth="1"/>
    <col min="3056" max="3056" width="6.42578125" style="74" customWidth="1"/>
    <col min="3057" max="3057" width="4.140625" style="74" bestFit="1" customWidth="1"/>
    <col min="3058" max="3058" width="3.85546875" style="74" customWidth="1"/>
    <col min="3059" max="3059" width="7.42578125" style="74" customWidth="1"/>
    <col min="3060" max="3060" width="7.28515625" style="74" customWidth="1"/>
    <col min="3061" max="3061" width="5.85546875" style="74" bestFit="1" customWidth="1"/>
    <col min="3062" max="3062" width="9.7109375" style="74" customWidth="1"/>
    <col min="3063" max="3063" width="7.7109375" style="74" customWidth="1"/>
    <col min="3064" max="3064" width="5.85546875" style="74" bestFit="1" customWidth="1"/>
    <col min="3065" max="3065" width="32" style="74" customWidth="1"/>
    <col min="3066" max="3308" width="9.140625" style="74"/>
    <col min="3309" max="3309" width="4.5703125" style="74" customWidth="1"/>
    <col min="3310" max="3310" width="13.7109375" style="74" customWidth="1"/>
    <col min="3311" max="3311" width="19" style="74" customWidth="1"/>
    <col min="3312" max="3312" width="6.42578125" style="74" customWidth="1"/>
    <col min="3313" max="3313" width="4.140625" style="74" bestFit="1" customWidth="1"/>
    <col min="3314" max="3314" width="3.85546875" style="74" customWidth="1"/>
    <col min="3315" max="3315" width="7.42578125" style="74" customWidth="1"/>
    <col min="3316" max="3316" width="7.28515625" style="74" customWidth="1"/>
    <col min="3317" max="3317" width="5.85546875" style="74" bestFit="1" customWidth="1"/>
    <col min="3318" max="3318" width="9.7109375" style="74" customWidth="1"/>
    <col min="3319" max="3319" width="7.7109375" style="74" customWidth="1"/>
    <col min="3320" max="3320" width="5.85546875" style="74" bestFit="1" customWidth="1"/>
    <col min="3321" max="3321" width="32" style="74" customWidth="1"/>
    <col min="3322" max="3564" width="9.140625" style="74"/>
    <col min="3565" max="3565" width="4.5703125" style="74" customWidth="1"/>
    <col min="3566" max="3566" width="13.7109375" style="74" customWidth="1"/>
    <col min="3567" max="3567" width="19" style="74" customWidth="1"/>
    <col min="3568" max="3568" width="6.42578125" style="74" customWidth="1"/>
    <col min="3569" max="3569" width="4.140625" style="74" bestFit="1" customWidth="1"/>
    <col min="3570" max="3570" width="3.85546875" style="74" customWidth="1"/>
    <col min="3571" max="3571" width="7.42578125" style="74" customWidth="1"/>
    <col min="3572" max="3572" width="7.28515625" style="74" customWidth="1"/>
    <col min="3573" max="3573" width="5.85546875" style="74" bestFit="1" customWidth="1"/>
    <col min="3574" max="3574" width="9.7109375" style="74" customWidth="1"/>
    <col min="3575" max="3575" width="7.7109375" style="74" customWidth="1"/>
    <col min="3576" max="3576" width="5.85546875" style="74" bestFit="1" customWidth="1"/>
    <col min="3577" max="3577" width="32" style="74" customWidth="1"/>
    <col min="3578" max="3820" width="9.140625" style="74"/>
    <col min="3821" max="3821" width="4.5703125" style="74" customWidth="1"/>
    <col min="3822" max="3822" width="13.7109375" style="74" customWidth="1"/>
    <col min="3823" max="3823" width="19" style="74" customWidth="1"/>
    <col min="3824" max="3824" width="6.42578125" style="74" customWidth="1"/>
    <col min="3825" max="3825" width="4.140625" style="74" bestFit="1" customWidth="1"/>
    <col min="3826" max="3826" width="3.85546875" style="74" customWidth="1"/>
    <col min="3827" max="3827" width="7.42578125" style="74" customWidth="1"/>
    <col min="3828" max="3828" width="7.28515625" style="74" customWidth="1"/>
    <col min="3829" max="3829" width="5.85546875" style="74" bestFit="1" customWidth="1"/>
    <col min="3830" max="3830" width="9.7109375" style="74" customWidth="1"/>
    <col min="3831" max="3831" width="7.7109375" style="74" customWidth="1"/>
    <col min="3832" max="3832" width="5.85546875" style="74" bestFit="1" customWidth="1"/>
    <col min="3833" max="3833" width="32" style="74" customWidth="1"/>
    <col min="3834" max="4076" width="9.140625" style="74"/>
    <col min="4077" max="4077" width="4.5703125" style="74" customWidth="1"/>
    <col min="4078" max="4078" width="13.7109375" style="74" customWidth="1"/>
    <col min="4079" max="4079" width="19" style="74" customWidth="1"/>
    <col min="4080" max="4080" width="6.42578125" style="74" customWidth="1"/>
    <col min="4081" max="4081" width="4.140625" style="74" bestFit="1" customWidth="1"/>
    <col min="4082" max="4082" width="3.85546875" style="74" customWidth="1"/>
    <col min="4083" max="4083" width="7.42578125" style="74" customWidth="1"/>
    <col min="4084" max="4084" width="7.28515625" style="74" customWidth="1"/>
    <col min="4085" max="4085" width="5.85546875" style="74" bestFit="1" customWidth="1"/>
    <col min="4086" max="4086" width="9.7109375" style="74" customWidth="1"/>
    <col min="4087" max="4087" width="7.7109375" style="74" customWidth="1"/>
    <col min="4088" max="4088" width="5.85546875" style="74" bestFit="1" customWidth="1"/>
    <col min="4089" max="4089" width="32" style="74" customWidth="1"/>
    <col min="4090" max="4332" width="9.140625" style="74"/>
    <col min="4333" max="4333" width="4.5703125" style="74" customWidth="1"/>
    <col min="4334" max="4334" width="13.7109375" style="74" customWidth="1"/>
    <col min="4335" max="4335" width="19" style="74" customWidth="1"/>
    <col min="4336" max="4336" width="6.42578125" style="74" customWidth="1"/>
    <col min="4337" max="4337" width="4.140625" style="74" bestFit="1" customWidth="1"/>
    <col min="4338" max="4338" width="3.85546875" style="74" customWidth="1"/>
    <col min="4339" max="4339" width="7.42578125" style="74" customWidth="1"/>
    <col min="4340" max="4340" width="7.28515625" style="74" customWidth="1"/>
    <col min="4341" max="4341" width="5.85546875" style="74" bestFit="1" customWidth="1"/>
    <col min="4342" max="4342" width="9.7109375" style="74" customWidth="1"/>
    <col min="4343" max="4343" width="7.7109375" style="74" customWidth="1"/>
    <col min="4344" max="4344" width="5.85546875" style="74" bestFit="1" customWidth="1"/>
    <col min="4345" max="4345" width="32" style="74" customWidth="1"/>
    <col min="4346" max="4588" width="9.140625" style="74"/>
    <col min="4589" max="4589" width="4.5703125" style="74" customWidth="1"/>
    <col min="4590" max="4590" width="13.7109375" style="74" customWidth="1"/>
    <col min="4591" max="4591" width="19" style="74" customWidth="1"/>
    <col min="4592" max="4592" width="6.42578125" style="74" customWidth="1"/>
    <col min="4593" max="4593" width="4.140625" style="74" bestFit="1" customWidth="1"/>
    <col min="4594" max="4594" width="3.85546875" style="74" customWidth="1"/>
    <col min="4595" max="4595" width="7.42578125" style="74" customWidth="1"/>
    <col min="4596" max="4596" width="7.28515625" style="74" customWidth="1"/>
    <col min="4597" max="4597" width="5.85546875" style="74" bestFit="1" customWidth="1"/>
    <col min="4598" max="4598" width="9.7109375" style="74" customWidth="1"/>
    <col min="4599" max="4599" width="7.7109375" style="74" customWidth="1"/>
    <col min="4600" max="4600" width="5.85546875" style="74" bestFit="1" customWidth="1"/>
    <col min="4601" max="4601" width="32" style="74" customWidth="1"/>
    <col min="4602" max="4844" width="9.140625" style="74"/>
    <col min="4845" max="4845" width="4.5703125" style="74" customWidth="1"/>
    <col min="4846" max="4846" width="13.7109375" style="74" customWidth="1"/>
    <col min="4847" max="4847" width="19" style="74" customWidth="1"/>
    <col min="4848" max="4848" width="6.42578125" style="74" customWidth="1"/>
    <col min="4849" max="4849" width="4.140625" style="74" bestFit="1" customWidth="1"/>
    <col min="4850" max="4850" width="3.85546875" style="74" customWidth="1"/>
    <col min="4851" max="4851" width="7.42578125" style="74" customWidth="1"/>
    <col min="4852" max="4852" width="7.28515625" style="74" customWidth="1"/>
    <col min="4853" max="4853" width="5.85546875" style="74" bestFit="1" customWidth="1"/>
    <col min="4854" max="4854" width="9.7109375" style="74" customWidth="1"/>
    <col min="4855" max="4855" width="7.7109375" style="74" customWidth="1"/>
    <col min="4856" max="4856" width="5.85546875" style="74" bestFit="1" customWidth="1"/>
    <col min="4857" max="4857" width="32" style="74" customWidth="1"/>
    <col min="4858" max="5100" width="9.140625" style="74"/>
    <col min="5101" max="5101" width="4.5703125" style="74" customWidth="1"/>
    <col min="5102" max="5102" width="13.7109375" style="74" customWidth="1"/>
    <col min="5103" max="5103" width="19" style="74" customWidth="1"/>
    <col min="5104" max="5104" width="6.42578125" style="74" customWidth="1"/>
    <col min="5105" max="5105" width="4.140625" style="74" bestFit="1" customWidth="1"/>
    <col min="5106" max="5106" width="3.85546875" style="74" customWidth="1"/>
    <col min="5107" max="5107" width="7.42578125" style="74" customWidth="1"/>
    <col min="5108" max="5108" width="7.28515625" style="74" customWidth="1"/>
    <col min="5109" max="5109" width="5.85546875" style="74" bestFit="1" customWidth="1"/>
    <col min="5110" max="5110" width="9.7109375" style="74" customWidth="1"/>
    <col min="5111" max="5111" width="7.7109375" style="74" customWidth="1"/>
    <col min="5112" max="5112" width="5.85546875" style="74" bestFit="1" customWidth="1"/>
    <col min="5113" max="5113" width="32" style="74" customWidth="1"/>
    <col min="5114" max="5356" width="9.140625" style="74"/>
    <col min="5357" max="5357" width="4.5703125" style="74" customWidth="1"/>
    <col min="5358" max="5358" width="13.7109375" style="74" customWidth="1"/>
    <col min="5359" max="5359" width="19" style="74" customWidth="1"/>
    <col min="5360" max="5360" width="6.42578125" style="74" customWidth="1"/>
    <col min="5361" max="5361" width="4.140625" style="74" bestFit="1" customWidth="1"/>
    <col min="5362" max="5362" width="3.85546875" style="74" customWidth="1"/>
    <col min="5363" max="5363" width="7.42578125" style="74" customWidth="1"/>
    <col min="5364" max="5364" width="7.28515625" style="74" customWidth="1"/>
    <col min="5365" max="5365" width="5.85546875" style="74" bestFit="1" customWidth="1"/>
    <col min="5366" max="5366" width="9.7109375" style="74" customWidth="1"/>
    <col min="5367" max="5367" width="7.7109375" style="74" customWidth="1"/>
    <col min="5368" max="5368" width="5.85546875" style="74" bestFit="1" customWidth="1"/>
    <col min="5369" max="5369" width="32" style="74" customWidth="1"/>
    <col min="5370" max="5612" width="9.140625" style="74"/>
    <col min="5613" max="5613" width="4.5703125" style="74" customWidth="1"/>
    <col min="5614" max="5614" width="13.7109375" style="74" customWidth="1"/>
    <col min="5615" max="5615" width="19" style="74" customWidth="1"/>
    <col min="5616" max="5616" width="6.42578125" style="74" customWidth="1"/>
    <col min="5617" max="5617" width="4.140625" style="74" bestFit="1" customWidth="1"/>
    <col min="5618" max="5618" width="3.85546875" style="74" customWidth="1"/>
    <col min="5619" max="5619" width="7.42578125" style="74" customWidth="1"/>
    <col min="5620" max="5620" width="7.28515625" style="74" customWidth="1"/>
    <col min="5621" max="5621" width="5.85546875" style="74" bestFit="1" customWidth="1"/>
    <col min="5622" max="5622" width="9.7109375" style="74" customWidth="1"/>
    <col min="5623" max="5623" width="7.7109375" style="74" customWidth="1"/>
    <col min="5624" max="5624" width="5.85546875" style="74" bestFit="1" customWidth="1"/>
    <col min="5625" max="5625" width="32" style="74" customWidth="1"/>
    <col min="5626" max="5868" width="9.140625" style="74"/>
    <col min="5869" max="5869" width="4.5703125" style="74" customWidth="1"/>
    <col min="5870" max="5870" width="13.7109375" style="74" customWidth="1"/>
    <col min="5871" max="5871" width="19" style="74" customWidth="1"/>
    <col min="5872" max="5872" width="6.42578125" style="74" customWidth="1"/>
    <col min="5873" max="5873" width="4.140625" style="74" bestFit="1" customWidth="1"/>
    <col min="5874" max="5874" width="3.85546875" style="74" customWidth="1"/>
    <col min="5875" max="5875" width="7.42578125" style="74" customWidth="1"/>
    <col min="5876" max="5876" width="7.28515625" style="74" customWidth="1"/>
    <col min="5877" max="5877" width="5.85546875" style="74" bestFit="1" customWidth="1"/>
    <col min="5878" max="5878" width="9.7109375" style="74" customWidth="1"/>
    <col min="5879" max="5879" width="7.7109375" style="74" customWidth="1"/>
    <col min="5880" max="5880" width="5.85546875" style="74" bestFit="1" customWidth="1"/>
    <col min="5881" max="5881" width="32" style="74" customWidth="1"/>
    <col min="5882" max="6124" width="9.140625" style="74"/>
    <col min="6125" max="6125" width="4.5703125" style="74" customWidth="1"/>
    <col min="6126" max="6126" width="13.7109375" style="74" customWidth="1"/>
    <col min="6127" max="6127" width="19" style="74" customWidth="1"/>
    <col min="6128" max="6128" width="6.42578125" style="74" customWidth="1"/>
    <col min="6129" max="6129" width="4.140625" style="74" bestFit="1" customWidth="1"/>
    <col min="6130" max="6130" width="3.85546875" style="74" customWidth="1"/>
    <col min="6131" max="6131" width="7.42578125" style="74" customWidth="1"/>
    <col min="6132" max="6132" width="7.28515625" style="74" customWidth="1"/>
    <col min="6133" max="6133" width="5.85546875" style="74" bestFit="1" customWidth="1"/>
    <col min="6134" max="6134" width="9.7109375" style="74" customWidth="1"/>
    <col min="6135" max="6135" width="7.7109375" style="74" customWidth="1"/>
    <col min="6136" max="6136" width="5.85546875" style="74" bestFit="1" customWidth="1"/>
    <col min="6137" max="6137" width="32" style="74" customWidth="1"/>
    <col min="6138" max="6380" width="9.140625" style="74"/>
    <col min="6381" max="6381" width="4.5703125" style="74" customWidth="1"/>
    <col min="6382" max="6382" width="13.7109375" style="74" customWidth="1"/>
    <col min="6383" max="6383" width="19" style="74" customWidth="1"/>
    <col min="6384" max="6384" width="6.42578125" style="74" customWidth="1"/>
    <col min="6385" max="6385" width="4.140625" style="74" bestFit="1" customWidth="1"/>
    <col min="6386" max="6386" width="3.85546875" style="74" customWidth="1"/>
    <col min="6387" max="6387" width="7.42578125" style="74" customWidth="1"/>
    <col min="6388" max="6388" width="7.28515625" style="74" customWidth="1"/>
    <col min="6389" max="6389" width="5.85546875" style="74" bestFit="1" customWidth="1"/>
    <col min="6390" max="6390" width="9.7109375" style="74" customWidth="1"/>
    <col min="6391" max="6391" width="7.7109375" style="74" customWidth="1"/>
    <col min="6392" max="6392" width="5.85546875" style="74" bestFit="1" customWidth="1"/>
    <col min="6393" max="6393" width="32" style="74" customWidth="1"/>
    <col min="6394" max="6636" width="9.140625" style="74"/>
    <col min="6637" max="6637" width="4.5703125" style="74" customWidth="1"/>
    <col min="6638" max="6638" width="13.7109375" style="74" customWidth="1"/>
    <col min="6639" max="6639" width="19" style="74" customWidth="1"/>
    <col min="6640" max="6640" width="6.42578125" style="74" customWidth="1"/>
    <col min="6641" max="6641" width="4.140625" style="74" bestFit="1" customWidth="1"/>
    <col min="6642" max="6642" width="3.85546875" style="74" customWidth="1"/>
    <col min="6643" max="6643" width="7.42578125" style="74" customWidth="1"/>
    <col min="6644" max="6644" width="7.28515625" style="74" customWidth="1"/>
    <col min="6645" max="6645" width="5.85546875" style="74" bestFit="1" customWidth="1"/>
    <col min="6646" max="6646" width="9.7109375" style="74" customWidth="1"/>
    <col min="6647" max="6647" width="7.7109375" style="74" customWidth="1"/>
    <col min="6648" max="6648" width="5.85546875" style="74" bestFit="1" customWidth="1"/>
    <col min="6649" max="6649" width="32" style="74" customWidth="1"/>
    <col min="6650" max="6892" width="9.140625" style="74"/>
    <col min="6893" max="6893" width="4.5703125" style="74" customWidth="1"/>
    <col min="6894" max="6894" width="13.7109375" style="74" customWidth="1"/>
    <col min="6895" max="6895" width="19" style="74" customWidth="1"/>
    <col min="6896" max="6896" width="6.42578125" style="74" customWidth="1"/>
    <col min="6897" max="6897" width="4.140625" style="74" bestFit="1" customWidth="1"/>
    <col min="6898" max="6898" width="3.85546875" style="74" customWidth="1"/>
    <col min="6899" max="6899" width="7.42578125" style="74" customWidth="1"/>
    <col min="6900" max="6900" width="7.28515625" style="74" customWidth="1"/>
    <col min="6901" max="6901" width="5.85546875" style="74" bestFit="1" customWidth="1"/>
    <col min="6902" max="6902" width="9.7109375" style="74" customWidth="1"/>
    <col min="6903" max="6903" width="7.7109375" style="74" customWidth="1"/>
    <col min="6904" max="6904" width="5.85546875" style="74" bestFit="1" customWidth="1"/>
    <col min="6905" max="6905" width="32" style="74" customWidth="1"/>
    <col min="6906" max="7148" width="9.140625" style="74"/>
    <col min="7149" max="7149" width="4.5703125" style="74" customWidth="1"/>
    <col min="7150" max="7150" width="13.7109375" style="74" customWidth="1"/>
    <col min="7151" max="7151" width="19" style="74" customWidth="1"/>
    <col min="7152" max="7152" width="6.42578125" style="74" customWidth="1"/>
    <col min="7153" max="7153" width="4.140625" style="74" bestFit="1" customWidth="1"/>
    <col min="7154" max="7154" width="3.85546875" style="74" customWidth="1"/>
    <col min="7155" max="7155" width="7.42578125" style="74" customWidth="1"/>
    <col min="7156" max="7156" width="7.28515625" style="74" customWidth="1"/>
    <col min="7157" max="7157" width="5.85546875" style="74" bestFit="1" customWidth="1"/>
    <col min="7158" max="7158" width="9.7109375" style="74" customWidth="1"/>
    <col min="7159" max="7159" width="7.7109375" style="74" customWidth="1"/>
    <col min="7160" max="7160" width="5.85546875" style="74" bestFit="1" customWidth="1"/>
    <col min="7161" max="7161" width="32" style="74" customWidth="1"/>
    <col min="7162" max="7404" width="9.140625" style="74"/>
    <col min="7405" max="7405" width="4.5703125" style="74" customWidth="1"/>
    <col min="7406" max="7406" width="13.7109375" style="74" customWidth="1"/>
    <col min="7407" max="7407" width="19" style="74" customWidth="1"/>
    <col min="7408" max="7408" width="6.42578125" style="74" customWidth="1"/>
    <col min="7409" max="7409" width="4.140625" style="74" bestFit="1" customWidth="1"/>
    <col min="7410" max="7410" width="3.85546875" style="74" customWidth="1"/>
    <col min="7411" max="7411" width="7.42578125" style="74" customWidth="1"/>
    <col min="7412" max="7412" width="7.28515625" style="74" customWidth="1"/>
    <col min="7413" max="7413" width="5.85546875" style="74" bestFit="1" customWidth="1"/>
    <col min="7414" max="7414" width="9.7109375" style="74" customWidth="1"/>
    <col min="7415" max="7415" width="7.7109375" style="74" customWidth="1"/>
    <col min="7416" max="7416" width="5.85546875" style="74" bestFit="1" customWidth="1"/>
    <col min="7417" max="7417" width="32" style="74" customWidth="1"/>
    <col min="7418" max="7660" width="9.140625" style="74"/>
    <col min="7661" max="7661" width="4.5703125" style="74" customWidth="1"/>
    <col min="7662" max="7662" width="13.7109375" style="74" customWidth="1"/>
    <col min="7663" max="7663" width="19" style="74" customWidth="1"/>
    <col min="7664" max="7664" width="6.42578125" style="74" customWidth="1"/>
    <col min="7665" max="7665" width="4.140625" style="74" bestFit="1" customWidth="1"/>
    <col min="7666" max="7666" width="3.85546875" style="74" customWidth="1"/>
    <col min="7667" max="7667" width="7.42578125" style="74" customWidth="1"/>
    <col min="7668" max="7668" width="7.28515625" style="74" customWidth="1"/>
    <col min="7669" max="7669" width="5.85546875" style="74" bestFit="1" customWidth="1"/>
    <col min="7670" max="7670" width="9.7109375" style="74" customWidth="1"/>
    <col min="7671" max="7671" width="7.7109375" style="74" customWidth="1"/>
    <col min="7672" max="7672" width="5.85546875" style="74" bestFit="1" customWidth="1"/>
    <col min="7673" max="7673" width="32" style="74" customWidth="1"/>
    <col min="7674" max="7916" width="9.140625" style="74"/>
    <col min="7917" max="7917" width="4.5703125" style="74" customWidth="1"/>
    <col min="7918" max="7918" width="13.7109375" style="74" customWidth="1"/>
    <col min="7919" max="7919" width="19" style="74" customWidth="1"/>
    <col min="7920" max="7920" width="6.42578125" style="74" customWidth="1"/>
    <col min="7921" max="7921" width="4.140625" style="74" bestFit="1" customWidth="1"/>
    <col min="7922" max="7922" width="3.85546875" style="74" customWidth="1"/>
    <col min="7923" max="7923" width="7.42578125" style="74" customWidth="1"/>
    <col min="7924" max="7924" width="7.28515625" style="74" customWidth="1"/>
    <col min="7925" max="7925" width="5.85546875" style="74" bestFit="1" customWidth="1"/>
    <col min="7926" max="7926" width="9.7109375" style="74" customWidth="1"/>
    <col min="7927" max="7927" width="7.7109375" style="74" customWidth="1"/>
    <col min="7928" max="7928" width="5.85546875" style="74" bestFit="1" customWidth="1"/>
    <col min="7929" max="7929" width="32" style="74" customWidth="1"/>
    <col min="7930" max="8172" width="9.140625" style="74"/>
    <col min="8173" max="8173" width="4.5703125" style="74" customWidth="1"/>
    <col min="8174" max="8174" width="13.7109375" style="74" customWidth="1"/>
    <col min="8175" max="8175" width="19" style="74" customWidth="1"/>
    <col min="8176" max="8176" width="6.42578125" style="74" customWidth="1"/>
    <col min="8177" max="8177" width="4.140625" style="74" bestFit="1" customWidth="1"/>
    <col min="8178" max="8178" width="3.85546875" style="74" customWidth="1"/>
    <col min="8179" max="8179" width="7.42578125" style="74" customWidth="1"/>
    <col min="8180" max="8180" width="7.28515625" style="74" customWidth="1"/>
    <col min="8181" max="8181" width="5.85546875" style="74" bestFit="1" customWidth="1"/>
    <col min="8182" max="8182" width="9.7109375" style="74" customWidth="1"/>
    <col min="8183" max="8183" width="7.7109375" style="74" customWidth="1"/>
    <col min="8184" max="8184" width="5.85546875" style="74" bestFit="1" customWidth="1"/>
    <col min="8185" max="8185" width="32" style="74" customWidth="1"/>
    <col min="8186" max="8428" width="9.140625" style="74"/>
    <col min="8429" max="8429" width="4.5703125" style="74" customWidth="1"/>
    <col min="8430" max="8430" width="13.7109375" style="74" customWidth="1"/>
    <col min="8431" max="8431" width="19" style="74" customWidth="1"/>
    <col min="8432" max="8432" width="6.42578125" style="74" customWidth="1"/>
    <col min="8433" max="8433" width="4.140625" style="74" bestFit="1" customWidth="1"/>
    <col min="8434" max="8434" width="3.85546875" style="74" customWidth="1"/>
    <col min="8435" max="8435" width="7.42578125" style="74" customWidth="1"/>
    <col min="8436" max="8436" width="7.28515625" style="74" customWidth="1"/>
    <col min="8437" max="8437" width="5.85546875" style="74" bestFit="1" customWidth="1"/>
    <col min="8438" max="8438" width="9.7109375" style="74" customWidth="1"/>
    <col min="8439" max="8439" width="7.7109375" style="74" customWidth="1"/>
    <col min="8440" max="8440" width="5.85546875" style="74" bestFit="1" customWidth="1"/>
    <col min="8441" max="8441" width="32" style="74" customWidth="1"/>
    <col min="8442" max="8684" width="9.140625" style="74"/>
    <col min="8685" max="8685" width="4.5703125" style="74" customWidth="1"/>
    <col min="8686" max="8686" width="13.7109375" style="74" customWidth="1"/>
    <col min="8687" max="8687" width="19" style="74" customWidth="1"/>
    <col min="8688" max="8688" width="6.42578125" style="74" customWidth="1"/>
    <col min="8689" max="8689" width="4.140625" style="74" bestFit="1" customWidth="1"/>
    <col min="8690" max="8690" width="3.85546875" style="74" customWidth="1"/>
    <col min="8691" max="8691" width="7.42578125" style="74" customWidth="1"/>
    <col min="8692" max="8692" width="7.28515625" style="74" customWidth="1"/>
    <col min="8693" max="8693" width="5.85546875" style="74" bestFit="1" customWidth="1"/>
    <col min="8694" max="8694" width="9.7109375" style="74" customWidth="1"/>
    <col min="8695" max="8695" width="7.7109375" style="74" customWidth="1"/>
    <col min="8696" max="8696" width="5.85546875" style="74" bestFit="1" customWidth="1"/>
    <col min="8697" max="8697" width="32" style="74" customWidth="1"/>
    <col min="8698" max="8940" width="9.140625" style="74"/>
    <col min="8941" max="8941" width="4.5703125" style="74" customWidth="1"/>
    <col min="8942" max="8942" width="13.7109375" style="74" customWidth="1"/>
    <col min="8943" max="8943" width="19" style="74" customWidth="1"/>
    <col min="8944" max="8944" width="6.42578125" style="74" customWidth="1"/>
    <col min="8945" max="8945" width="4.140625" style="74" bestFit="1" customWidth="1"/>
    <col min="8946" max="8946" width="3.85546875" style="74" customWidth="1"/>
    <col min="8947" max="8947" width="7.42578125" style="74" customWidth="1"/>
    <col min="8948" max="8948" width="7.28515625" style="74" customWidth="1"/>
    <col min="8949" max="8949" width="5.85546875" style="74" bestFit="1" customWidth="1"/>
    <col min="8950" max="8950" width="9.7109375" style="74" customWidth="1"/>
    <col min="8951" max="8951" width="7.7109375" style="74" customWidth="1"/>
    <col min="8952" max="8952" width="5.85546875" style="74" bestFit="1" customWidth="1"/>
    <col min="8953" max="8953" width="32" style="74" customWidth="1"/>
    <col min="8954" max="9196" width="9.140625" style="74"/>
    <col min="9197" max="9197" width="4.5703125" style="74" customWidth="1"/>
    <col min="9198" max="9198" width="13.7109375" style="74" customWidth="1"/>
    <col min="9199" max="9199" width="19" style="74" customWidth="1"/>
    <col min="9200" max="9200" width="6.42578125" style="74" customWidth="1"/>
    <col min="9201" max="9201" width="4.140625" style="74" bestFit="1" customWidth="1"/>
    <col min="9202" max="9202" width="3.85546875" style="74" customWidth="1"/>
    <col min="9203" max="9203" width="7.42578125" style="74" customWidth="1"/>
    <col min="9204" max="9204" width="7.28515625" style="74" customWidth="1"/>
    <col min="9205" max="9205" width="5.85546875" style="74" bestFit="1" customWidth="1"/>
    <col min="9206" max="9206" width="9.7109375" style="74" customWidth="1"/>
    <col min="9207" max="9207" width="7.7109375" style="74" customWidth="1"/>
    <col min="9208" max="9208" width="5.85546875" style="74" bestFit="1" customWidth="1"/>
    <col min="9209" max="9209" width="32" style="74" customWidth="1"/>
    <col min="9210" max="9452" width="9.140625" style="74"/>
    <col min="9453" max="9453" width="4.5703125" style="74" customWidth="1"/>
    <col min="9454" max="9454" width="13.7109375" style="74" customWidth="1"/>
    <col min="9455" max="9455" width="19" style="74" customWidth="1"/>
    <col min="9456" max="9456" width="6.42578125" style="74" customWidth="1"/>
    <col min="9457" max="9457" width="4.140625" style="74" bestFit="1" customWidth="1"/>
    <col min="9458" max="9458" width="3.85546875" style="74" customWidth="1"/>
    <col min="9459" max="9459" width="7.42578125" style="74" customWidth="1"/>
    <col min="9460" max="9460" width="7.28515625" style="74" customWidth="1"/>
    <col min="9461" max="9461" width="5.85546875" style="74" bestFit="1" customWidth="1"/>
    <col min="9462" max="9462" width="9.7109375" style="74" customWidth="1"/>
    <col min="9463" max="9463" width="7.7109375" style="74" customWidth="1"/>
    <col min="9464" max="9464" width="5.85546875" style="74" bestFit="1" customWidth="1"/>
    <col min="9465" max="9465" width="32" style="74" customWidth="1"/>
    <col min="9466" max="9708" width="9.140625" style="74"/>
    <col min="9709" max="9709" width="4.5703125" style="74" customWidth="1"/>
    <col min="9710" max="9710" width="13.7109375" style="74" customWidth="1"/>
    <col min="9711" max="9711" width="19" style="74" customWidth="1"/>
    <col min="9712" max="9712" width="6.42578125" style="74" customWidth="1"/>
    <col min="9713" max="9713" width="4.140625" style="74" bestFit="1" customWidth="1"/>
    <col min="9714" max="9714" width="3.85546875" style="74" customWidth="1"/>
    <col min="9715" max="9715" width="7.42578125" style="74" customWidth="1"/>
    <col min="9716" max="9716" width="7.28515625" style="74" customWidth="1"/>
    <col min="9717" max="9717" width="5.85546875" style="74" bestFit="1" customWidth="1"/>
    <col min="9718" max="9718" width="9.7109375" style="74" customWidth="1"/>
    <col min="9719" max="9719" width="7.7109375" style="74" customWidth="1"/>
    <col min="9720" max="9720" width="5.85546875" style="74" bestFit="1" customWidth="1"/>
    <col min="9721" max="9721" width="32" style="74" customWidth="1"/>
    <col min="9722" max="9964" width="9.140625" style="74"/>
    <col min="9965" max="9965" width="4.5703125" style="74" customWidth="1"/>
    <col min="9966" max="9966" width="13.7109375" style="74" customWidth="1"/>
    <col min="9967" max="9967" width="19" style="74" customWidth="1"/>
    <col min="9968" max="9968" width="6.42578125" style="74" customWidth="1"/>
    <col min="9969" max="9969" width="4.140625" style="74" bestFit="1" customWidth="1"/>
    <col min="9970" max="9970" width="3.85546875" style="74" customWidth="1"/>
    <col min="9971" max="9971" width="7.42578125" style="74" customWidth="1"/>
    <col min="9972" max="9972" width="7.28515625" style="74" customWidth="1"/>
    <col min="9973" max="9973" width="5.85546875" style="74" bestFit="1" customWidth="1"/>
    <col min="9974" max="9974" width="9.7109375" style="74" customWidth="1"/>
    <col min="9975" max="9975" width="7.7109375" style="74" customWidth="1"/>
    <col min="9976" max="9976" width="5.85546875" style="74" bestFit="1" customWidth="1"/>
    <col min="9977" max="9977" width="32" style="74" customWidth="1"/>
    <col min="9978" max="10220" width="9.140625" style="74"/>
    <col min="10221" max="10221" width="4.5703125" style="74" customWidth="1"/>
    <col min="10222" max="10222" width="13.7109375" style="74" customWidth="1"/>
    <col min="10223" max="10223" width="19" style="74" customWidth="1"/>
    <col min="10224" max="10224" width="6.42578125" style="74" customWidth="1"/>
    <col min="10225" max="10225" width="4.140625" style="74" bestFit="1" customWidth="1"/>
    <col min="10226" max="10226" width="3.85546875" style="74" customWidth="1"/>
    <col min="10227" max="10227" width="7.42578125" style="74" customWidth="1"/>
    <col min="10228" max="10228" width="7.28515625" style="74" customWidth="1"/>
    <col min="10229" max="10229" width="5.85546875" style="74" bestFit="1" customWidth="1"/>
    <col min="10230" max="10230" width="9.7109375" style="74" customWidth="1"/>
    <col min="10231" max="10231" width="7.7109375" style="74" customWidth="1"/>
    <col min="10232" max="10232" width="5.85546875" style="74" bestFit="1" customWidth="1"/>
    <col min="10233" max="10233" width="32" style="74" customWidth="1"/>
    <col min="10234" max="10476" width="9.140625" style="74"/>
    <col min="10477" max="10477" width="4.5703125" style="74" customWidth="1"/>
    <col min="10478" max="10478" width="13.7109375" style="74" customWidth="1"/>
    <col min="10479" max="10479" width="19" style="74" customWidth="1"/>
    <col min="10480" max="10480" width="6.42578125" style="74" customWidth="1"/>
    <col min="10481" max="10481" width="4.140625" style="74" bestFit="1" customWidth="1"/>
    <col min="10482" max="10482" width="3.85546875" style="74" customWidth="1"/>
    <col min="10483" max="10483" width="7.42578125" style="74" customWidth="1"/>
    <col min="10484" max="10484" width="7.28515625" style="74" customWidth="1"/>
    <col min="10485" max="10485" width="5.85546875" style="74" bestFit="1" customWidth="1"/>
    <col min="10486" max="10486" width="9.7109375" style="74" customWidth="1"/>
    <col min="10487" max="10487" width="7.7109375" style="74" customWidth="1"/>
    <col min="10488" max="10488" width="5.85546875" style="74" bestFit="1" customWidth="1"/>
    <col min="10489" max="10489" width="32" style="74" customWidth="1"/>
    <col min="10490" max="10732" width="9.140625" style="74"/>
    <col min="10733" max="10733" width="4.5703125" style="74" customWidth="1"/>
    <col min="10734" max="10734" width="13.7109375" style="74" customWidth="1"/>
    <col min="10735" max="10735" width="19" style="74" customWidth="1"/>
    <col min="10736" max="10736" width="6.42578125" style="74" customWidth="1"/>
    <col min="10737" max="10737" width="4.140625" style="74" bestFit="1" customWidth="1"/>
    <col min="10738" max="10738" width="3.85546875" style="74" customWidth="1"/>
    <col min="10739" max="10739" width="7.42578125" style="74" customWidth="1"/>
    <col min="10740" max="10740" width="7.28515625" style="74" customWidth="1"/>
    <col min="10741" max="10741" width="5.85546875" style="74" bestFit="1" customWidth="1"/>
    <col min="10742" max="10742" width="9.7109375" style="74" customWidth="1"/>
    <col min="10743" max="10743" width="7.7109375" style="74" customWidth="1"/>
    <col min="10744" max="10744" width="5.85546875" style="74" bestFit="1" customWidth="1"/>
    <col min="10745" max="10745" width="32" style="74" customWidth="1"/>
    <col min="10746" max="10988" width="9.140625" style="74"/>
    <col min="10989" max="10989" width="4.5703125" style="74" customWidth="1"/>
    <col min="10990" max="10990" width="13.7109375" style="74" customWidth="1"/>
    <col min="10991" max="10991" width="19" style="74" customWidth="1"/>
    <col min="10992" max="10992" width="6.42578125" style="74" customWidth="1"/>
    <col min="10993" max="10993" width="4.140625" style="74" bestFit="1" customWidth="1"/>
    <col min="10994" max="10994" width="3.85546875" style="74" customWidth="1"/>
    <col min="10995" max="10995" width="7.42578125" style="74" customWidth="1"/>
    <col min="10996" max="10996" width="7.28515625" style="74" customWidth="1"/>
    <col min="10997" max="10997" width="5.85546875" style="74" bestFit="1" customWidth="1"/>
    <col min="10998" max="10998" width="9.7109375" style="74" customWidth="1"/>
    <col min="10999" max="10999" width="7.7109375" style="74" customWidth="1"/>
    <col min="11000" max="11000" width="5.85546875" style="74" bestFit="1" customWidth="1"/>
    <col min="11001" max="11001" width="32" style="74" customWidth="1"/>
    <col min="11002" max="11244" width="9.140625" style="74"/>
    <col min="11245" max="11245" width="4.5703125" style="74" customWidth="1"/>
    <col min="11246" max="11246" width="13.7109375" style="74" customWidth="1"/>
    <col min="11247" max="11247" width="19" style="74" customWidth="1"/>
    <col min="11248" max="11248" width="6.42578125" style="74" customWidth="1"/>
    <col min="11249" max="11249" width="4.140625" style="74" bestFit="1" customWidth="1"/>
    <col min="11250" max="11250" width="3.85546875" style="74" customWidth="1"/>
    <col min="11251" max="11251" width="7.42578125" style="74" customWidth="1"/>
    <col min="11252" max="11252" width="7.28515625" style="74" customWidth="1"/>
    <col min="11253" max="11253" width="5.85546875" style="74" bestFit="1" customWidth="1"/>
    <col min="11254" max="11254" width="9.7109375" style="74" customWidth="1"/>
    <col min="11255" max="11255" width="7.7109375" style="74" customWidth="1"/>
    <col min="11256" max="11256" width="5.85546875" style="74" bestFit="1" customWidth="1"/>
    <col min="11257" max="11257" width="32" style="74" customWidth="1"/>
    <col min="11258" max="11500" width="9.140625" style="74"/>
    <col min="11501" max="11501" width="4.5703125" style="74" customWidth="1"/>
    <col min="11502" max="11502" width="13.7109375" style="74" customWidth="1"/>
    <col min="11503" max="11503" width="19" style="74" customWidth="1"/>
    <col min="11504" max="11504" width="6.42578125" style="74" customWidth="1"/>
    <col min="11505" max="11505" width="4.140625" style="74" bestFit="1" customWidth="1"/>
    <col min="11506" max="11506" width="3.85546875" style="74" customWidth="1"/>
    <col min="11507" max="11507" width="7.42578125" style="74" customWidth="1"/>
    <col min="11508" max="11508" width="7.28515625" style="74" customWidth="1"/>
    <col min="11509" max="11509" width="5.85546875" style="74" bestFit="1" customWidth="1"/>
    <col min="11510" max="11510" width="9.7109375" style="74" customWidth="1"/>
    <col min="11511" max="11511" width="7.7109375" style="74" customWidth="1"/>
    <col min="11512" max="11512" width="5.85546875" style="74" bestFit="1" customWidth="1"/>
    <col min="11513" max="11513" width="32" style="74" customWidth="1"/>
    <col min="11514" max="11756" width="9.140625" style="74"/>
    <col min="11757" max="11757" width="4.5703125" style="74" customWidth="1"/>
    <col min="11758" max="11758" width="13.7109375" style="74" customWidth="1"/>
    <col min="11759" max="11759" width="19" style="74" customWidth="1"/>
    <col min="11760" max="11760" width="6.42578125" style="74" customWidth="1"/>
    <col min="11761" max="11761" width="4.140625" style="74" bestFit="1" customWidth="1"/>
    <col min="11762" max="11762" width="3.85546875" style="74" customWidth="1"/>
    <col min="11763" max="11763" width="7.42578125" style="74" customWidth="1"/>
    <col min="11764" max="11764" width="7.28515625" style="74" customWidth="1"/>
    <col min="11765" max="11765" width="5.85546875" style="74" bestFit="1" customWidth="1"/>
    <col min="11766" max="11766" width="9.7109375" style="74" customWidth="1"/>
    <col min="11767" max="11767" width="7.7109375" style="74" customWidth="1"/>
    <col min="11768" max="11768" width="5.85546875" style="74" bestFit="1" customWidth="1"/>
    <col min="11769" max="11769" width="32" style="74" customWidth="1"/>
    <col min="11770" max="12012" width="9.140625" style="74"/>
    <col min="12013" max="12013" width="4.5703125" style="74" customWidth="1"/>
    <col min="12014" max="12014" width="13.7109375" style="74" customWidth="1"/>
    <col min="12015" max="12015" width="19" style="74" customWidth="1"/>
    <col min="12016" max="12016" width="6.42578125" style="74" customWidth="1"/>
    <col min="12017" max="12017" width="4.140625" style="74" bestFit="1" customWidth="1"/>
    <col min="12018" max="12018" width="3.85546875" style="74" customWidth="1"/>
    <col min="12019" max="12019" width="7.42578125" style="74" customWidth="1"/>
    <col min="12020" max="12020" width="7.28515625" style="74" customWidth="1"/>
    <col min="12021" max="12021" width="5.85546875" style="74" bestFit="1" customWidth="1"/>
    <col min="12022" max="12022" width="9.7109375" style="74" customWidth="1"/>
    <col min="12023" max="12023" width="7.7109375" style="74" customWidth="1"/>
    <col min="12024" max="12024" width="5.85546875" style="74" bestFit="1" customWidth="1"/>
    <col min="12025" max="12025" width="32" style="74" customWidth="1"/>
    <col min="12026" max="12268" width="9.140625" style="74"/>
    <col min="12269" max="12269" width="4.5703125" style="74" customWidth="1"/>
    <col min="12270" max="12270" width="13.7109375" style="74" customWidth="1"/>
    <col min="12271" max="12271" width="19" style="74" customWidth="1"/>
    <col min="12272" max="12272" width="6.42578125" style="74" customWidth="1"/>
    <col min="12273" max="12273" width="4.140625" style="74" bestFit="1" customWidth="1"/>
    <col min="12274" max="12274" width="3.85546875" style="74" customWidth="1"/>
    <col min="12275" max="12275" width="7.42578125" style="74" customWidth="1"/>
    <col min="12276" max="12276" width="7.28515625" style="74" customWidth="1"/>
    <col min="12277" max="12277" width="5.85546875" style="74" bestFit="1" customWidth="1"/>
    <col min="12278" max="12278" width="9.7109375" style="74" customWidth="1"/>
    <col min="12279" max="12279" width="7.7109375" style="74" customWidth="1"/>
    <col min="12280" max="12280" width="5.85546875" style="74" bestFit="1" customWidth="1"/>
    <col min="12281" max="12281" width="32" style="74" customWidth="1"/>
    <col min="12282" max="12524" width="9.140625" style="74"/>
    <col min="12525" max="12525" width="4.5703125" style="74" customWidth="1"/>
    <col min="12526" max="12526" width="13.7109375" style="74" customWidth="1"/>
    <col min="12527" max="12527" width="19" style="74" customWidth="1"/>
    <col min="12528" max="12528" width="6.42578125" style="74" customWidth="1"/>
    <col min="12529" max="12529" width="4.140625" style="74" bestFit="1" customWidth="1"/>
    <col min="12530" max="12530" width="3.85546875" style="74" customWidth="1"/>
    <col min="12531" max="12531" width="7.42578125" style="74" customWidth="1"/>
    <col min="12532" max="12532" width="7.28515625" style="74" customWidth="1"/>
    <col min="12533" max="12533" width="5.85546875" style="74" bestFit="1" customWidth="1"/>
    <col min="12534" max="12534" width="9.7109375" style="74" customWidth="1"/>
    <col min="12535" max="12535" width="7.7109375" style="74" customWidth="1"/>
    <col min="12536" max="12536" width="5.85546875" style="74" bestFit="1" customWidth="1"/>
    <col min="12537" max="12537" width="32" style="74" customWidth="1"/>
    <col min="12538" max="12780" width="9.140625" style="74"/>
    <col min="12781" max="12781" width="4.5703125" style="74" customWidth="1"/>
    <col min="12782" max="12782" width="13.7109375" style="74" customWidth="1"/>
    <col min="12783" max="12783" width="19" style="74" customWidth="1"/>
    <col min="12784" max="12784" width="6.42578125" style="74" customWidth="1"/>
    <col min="12785" max="12785" width="4.140625" style="74" bestFit="1" customWidth="1"/>
    <col min="12786" max="12786" width="3.85546875" style="74" customWidth="1"/>
    <col min="12787" max="12787" width="7.42578125" style="74" customWidth="1"/>
    <col min="12788" max="12788" width="7.28515625" style="74" customWidth="1"/>
    <col min="12789" max="12789" width="5.85546875" style="74" bestFit="1" customWidth="1"/>
    <col min="12790" max="12790" width="9.7109375" style="74" customWidth="1"/>
    <col min="12791" max="12791" width="7.7109375" style="74" customWidth="1"/>
    <col min="12792" max="12792" width="5.85546875" style="74" bestFit="1" customWidth="1"/>
    <col min="12793" max="12793" width="32" style="74" customWidth="1"/>
    <col min="12794" max="13036" width="9.140625" style="74"/>
    <col min="13037" max="13037" width="4.5703125" style="74" customWidth="1"/>
    <col min="13038" max="13038" width="13.7109375" style="74" customWidth="1"/>
    <col min="13039" max="13039" width="19" style="74" customWidth="1"/>
    <col min="13040" max="13040" width="6.42578125" style="74" customWidth="1"/>
    <col min="13041" max="13041" width="4.140625" style="74" bestFit="1" customWidth="1"/>
    <col min="13042" max="13042" width="3.85546875" style="74" customWidth="1"/>
    <col min="13043" max="13043" width="7.42578125" style="74" customWidth="1"/>
    <col min="13044" max="13044" width="7.28515625" style="74" customWidth="1"/>
    <col min="13045" max="13045" width="5.85546875" style="74" bestFit="1" customWidth="1"/>
    <col min="13046" max="13046" width="9.7109375" style="74" customWidth="1"/>
    <col min="13047" max="13047" width="7.7109375" style="74" customWidth="1"/>
    <col min="13048" max="13048" width="5.85546875" style="74" bestFit="1" customWidth="1"/>
    <col min="13049" max="13049" width="32" style="74" customWidth="1"/>
    <col min="13050" max="13292" width="9.140625" style="74"/>
    <col min="13293" max="13293" width="4.5703125" style="74" customWidth="1"/>
    <col min="13294" max="13294" width="13.7109375" style="74" customWidth="1"/>
    <col min="13295" max="13295" width="19" style="74" customWidth="1"/>
    <col min="13296" max="13296" width="6.42578125" style="74" customWidth="1"/>
    <col min="13297" max="13297" width="4.140625" style="74" bestFit="1" customWidth="1"/>
    <col min="13298" max="13298" width="3.85546875" style="74" customWidth="1"/>
    <col min="13299" max="13299" width="7.42578125" style="74" customWidth="1"/>
    <col min="13300" max="13300" width="7.28515625" style="74" customWidth="1"/>
    <col min="13301" max="13301" width="5.85546875" style="74" bestFit="1" customWidth="1"/>
    <col min="13302" max="13302" width="9.7109375" style="74" customWidth="1"/>
    <col min="13303" max="13303" width="7.7109375" style="74" customWidth="1"/>
    <col min="13304" max="13304" width="5.85546875" style="74" bestFit="1" customWidth="1"/>
    <col min="13305" max="13305" width="32" style="74" customWidth="1"/>
    <col min="13306" max="13548" width="9.140625" style="74"/>
    <col min="13549" max="13549" width="4.5703125" style="74" customWidth="1"/>
    <col min="13550" max="13550" width="13.7109375" style="74" customWidth="1"/>
    <col min="13551" max="13551" width="19" style="74" customWidth="1"/>
    <col min="13552" max="13552" width="6.42578125" style="74" customWidth="1"/>
    <col min="13553" max="13553" width="4.140625" style="74" bestFit="1" customWidth="1"/>
    <col min="13554" max="13554" width="3.85546875" style="74" customWidth="1"/>
    <col min="13555" max="13555" width="7.42578125" style="74" customWidth="1"/>
    <col min="13556" max="13556" width="7.28515625" style="74" customWidth="1"/>
    <col min="13557" max="13557" width="5.85546875" style="74" bestFit="1" customWidth="1"/>
    <col min="13558" max="13558" width="9.7109375" style="74" customWidth="1"/>
    <col min="13559" max="13559" width="7.7109375" style="74" customWidth="1"/>
    <col min="13560" max="13560" width="5.85546875" style="74" bestFit="1" customWidth="1"/>
    <col min="13561" max="13561" width="32" style="74" customWidth="1"/>
    <col min="13562" max="13804" width="9.140625" style="74"/>
    <col min="13805" max="13805" width="4.5703125" style="74" customWidth="1"/>
    <col min="13806" max="13806" width="13.7109375" style="74" customWidth="1"/>
    <col min="13807" max="13807" width="19" style="74" customWidth="1"/>
    <col min="13808" max="13808" width="6.42578125" style="74" customWidth="1"/>
    <col min="13809" max="13809" width="4.140625" style="74" bestFit="1" customWidth="1"/>
    <col min="13810" max="13810" width="3.85546875" style="74" customWidth="1"/>
    <col min="13811" max="13811" width="7.42578125" style="74" customWidth="1"/>
    <col min="13812" max="13812" width="7.28515625" style="74" customWidth="1"/>
    <col min="13813" max="13813" width="5.85546875" style="74" bestFit="1" customWidth="1"/>
    <col min="13814" max="13814" width="9.7109375" style="74" customWidth="1"/>
    <col min="13815" max="13815" width="7.7109375" style="74" customWidth="1"/>
    <col min="13816" max="13816" width="5.85546875" style="74" bestFit="1" customWidth="1"/>
    <col min="13817" max="13817" width="32" style="74" customWidth="1"/>
    <col min="13818" max="14060" width="9.140625" style="74"/>
    <col min="14061" max="14061" width="4.5703125" style="74" customWidth="1"/>
    <col min="14062" max="14062" width="13.7109375" style="74" customWidth="1"/>
    <col min="14063" max="14063" width="19" style="74" customWidth="1"/>
    <col min="14064" max="14064" width="6.42578125" style="74" customWidth="1"/>
    <col min="14065" max="14065" width="4.140625" style="74" bestFit="1" customWidth="1"/>
    <col min="14066" max="14066" width="3.85546875" style="74" customWidth="1"/>
    <col min="14067" max="14067" width="7.42578125" style="74" customWidth="1"/>
    <col min="14068" max="14068" width="7.28515625" style="74" customWidth="1"/>
    <col min="14069" max="14069" width="5.85546875" style="74" bestFit="1" customWidth="1"/>
    <col min="14070" max="14070" width="9.7109375" style="74" customWidth="1"/>
    <col min="14071" max="14071" width="7.7109375" style="74" customWidth="1"/>
    <col min="14072" max="14072" width="5.85546875" style="74" bestFit="1" customWidth="1"/>
    <col min="14073" max="14073" width="32" style="74" customWidth="1"/>
    <col min="14074" max="14316" width="9.140625" style="74"/>
    <col min="14317" max="14317" width="4.5703125" style="74" customWidth="1"/>
    <col min="14318" max="14318" width="13.7109375" style="74" customWidth="1"/>
    <col min="14319" max="14319" width="19" style="74" customWidth="1"/>
    <col min="14320" max="14320" width="6.42578125" style="74" customWidth="1"/>
    <col min="14321" max="14321" width="4.140625" style="74" bestFit="1" customWidth="1"/>
    <col min="14322" max="14322" width="3.85546875" style="74" customWidth="1"/>
    <col min="14323" max="14323" width="7.42578125" style="74" customWidth="1"/>
    <col min="14324" max="14324" width="7.28515625" style="74" customWidth="1"/>
    <col min="14325" max="14325" width="5.85546875" style="74" bestFit="1" customWidth="1"/>
    <col min="14326" max="14326" width="9.7109375" style="74" customWidth="1"/>
    <col min="14327" max="14327" width="7.7109375" style="74" customWidth="1"/>
    <col min="14328" max="14328" width="5.85546875" style="74" bestFit="1" customWidth="1"/>
    <col min="14329" max="14329" width="32" style="74" customWidth="1"/>
    <col min="14330" max="14572" width="9.140625" style="74"/>
    <col min="14573" max="14573" width="4.5703125" style="74" customWidth="1"/>
    <col min="14574" max="14574" width="13.7109375" style="74" customWidth="1"/>
    <col min="14575" max="14575" width="19" style="74" customWidth="1"/>
    <col min="14576" max="14576" width="6.42578125" style="74" customWidth="1"/>
    <col min="14577" max="14577" width="4.140625" style="74" bestFit="1" customWidth="1"/>
    <col min="14578" max="14578" width="3.85546875" style="74" customWidth="1"/>
    <col min="14579" max="14579" width="7.42578125" style="74" customWidth="1"/>
    <col min="14580" max="14580" width="7.28515625" style="74" customWidth="1"/>
    <col min="14581" max="14581" width="5.85546875" style="74" bestFit="1" customWidth="1"/>
    <col min="14582" max="14582" width="9.7109375" style="74" customWidth="1"/>
    <col min="14583" max="14583" width="7.7109375" style="74" customWidth="1"/>
    <col min="14584" max="14584" width="5.85546875" style="74" bestFit="1" customWidth="1"/>
    <col min="14585" max="14585" width="32" style="74" customWidth="1"/>
    <col min="14586" max="14828" width="9.140625" style="74"/>
    <col min="14829" max="14829" width="4.5703125" style="74" customWidth="1"/>
    <col min="14830" max="14830" width="13.7109375" style="74" customWidth="1"/>
    <col min="14831" max="14831" width="19" style="74" customWidth="1"/>
    <col min="14832" max="14832" width="6.42578125" style="74" customWidth="1"/>
    <col min="14833" max="14833" width="4.140625" style="74" bestFit="1" customWidth="1"/>
    <col min="14834" max="14834" width="3.85546875" style="74" customWidth="1"/>
    <col min="14835" max="14835" width="7.42578125" style="74" customWidth="1"/>
    <col min="14836" max="14836" width="7.28515625" style="74" customWidth="1"/>
    <col min="14837" max="14837" width="5.85546875" style="74" bestFit="1" customWidth="1"/>
    <col min="14838" max="14838" width="9.7109375" style="74" customWidth="1"/>
    <col min="14839" max="14839" width="7.7109375" style="74" customWidth="1"/>
    <col min="14840" max="14840" width="5.85546875" style="74" bestFit="1" customWidth="1"/>
    <col min="14841" max="14841" width="32" style="74" customWidth="1"/>
    <col min="14842" max="15084" width="9.140625" style="74"/>
    <col min="15085" max="15085" width="4.5703125" style="74" customWidth="1"/>
    <col min="15086" max="15086" width="13.7109375" style="74" customWidth="1"/>
    <col min="15087" max="15087" width="19" style="74" customWidth="1"/>
    <col min="15088" max="15088" width="6.42578125" style="74" customWidth="1"/>
    <col min="15089" max="15089" width="4.140625" style="74" bestFit="1" customWidth="1"/>
    <col min="15090" max="15090" width="3.85546875" style="74" customWidth="1"/>
    <col min="15091" max="15091" width="7.42578125" style="74" customWidth="1"/>
    <col min="15092" max="15092" width="7.28515625" style="74" customWidth="1"/>
    <col min="15093" max="15093" width="5.85546875" style="74" bestFit="1" customWidth="1"/>
    <col min="15094" max="15094" width="9.7109375" style="74" customWidth="1"/>
    <col min="15095" max="15095" width="7.7109375" style="74" customWidth="1"/>
    <col min="15096" max="15096" width="5.85546875" style="74" bestFit="1" customWidth="1"/>
    <col min="15097" max="15097" width="32" style="74" customWidth="1"/>
    <col min="15098" max="15340" width="9.140625" style="74"/>
    <col min="15341" max="15341" width="4.5703125" style="74" customWidth="1"/>
    <col min="15342" max="15342" width="13.7109375" style="74" customWidth="1"/>
    <col min="15343" max="15343" width="19" style="74" customWidth="1"/>
    <col min="15344" max="15344" width="6.42578125" style="74" customWidth="1"/>
    <col min="15345" max="15345" width="4.140625" style="74" bestFit="1" customWidth="1"/>
    <col min="15346" max="15346" width="3.85546875" style="74" customWidth="1"/>
    <col min="15347" max="15347" width="7.42578125" style="74" customWidth="1"/>
    <col min="15348" max="15348" width="7.28515625" style="74" customWidth="1"/>
    <col min="15349" max="15349" width="5.85546875" style="74" bestFit="1" customWidth="1"/>
    <col min="15350" max="15350" width="9.7109375" style="74" customWidth="1"/>
    <col min="15351" max="15351" width="7.7109375" style="74" customWidth="1"/>
    <col min="15352" max="15352" width="5.85546875" style="74" bestFit="1" customWidth="1"/>
    <col min="15353" max="15353" width="32" style="74" customWidth="1"/>
    <col min="15354" max="15596" width="9.140625" style="74"/>
    <col min="15597" max="15597" width="4.5703125" style="74" customWidth="1"/>
    <col min="15598" max="15598" width="13.7109375" style="74" customWidth="1"/>
    <col min="15599" max="15599" width="19" style="74" customWidth="1"/>
    <col min="15600" max="15600" width="6.42578125" style="74" customWidth="1"/>
    <col min="15601" max="15601" width="4.140625" style="74" bestFit="1" customWidth="1"/>
    <col min="15602" max="15602" width="3.85546875" style="74" customWidth="1"/>
    <col min="15603" max="15603" width="7.42578125" style="74" customWidth="1"/>
    <col min="15604" max="15604" width="7.28515625" style="74" customWidth="1"/>
    <col min="15605" max="15605" width="5.85546875" style="74" bestFit="1" customWidth="1"/>
    <col min="15606" max="15606" width="9.7109375" style="74" customWidth="1"/>
    <col min="15607" max="15607" width="7.7109375" style="74" customWidth="1"/>
    <col min="15608" max="15608" width="5.85546875" style="74" bestFit="1" customWidth="1"/>
    <col min="15609" max="15609" width="32" style="74" customWidth="1"/>
    <col min="15610" max="15852" width="9.140625" style="74"/>
    <col min="15853" max="15853" width="4.5703125" style="74" customWidth="1"/>
    <col min="15854" max="15854" width="13.7109375" style="74" customWidth="1"/>
    <col min="15855" max="15855" width="19" style="74" customWidth="1"/>
    <col min="15856" max="15856" width="6.42578125" style="74" customWidth="1"/>
    <col min="15857" max="15857" width="4.140625" style="74" bestFit="1" customWidth="1"/>
    <col min="15858" max="15858" width="3.85546875" style="74" customWidth="1"/>
    <col min="15859" max="15859" width="7.42578125" style="74" customWidth="1"/>
    <col min="15860" max="15860" width="7.28515625" style="74" customWidth="1"/>
    <col min="15861" max="15861" width="5.85546875" style="74" bestFit="1" customWidth="1"/>
    <col min="15862" max="15862" width="9.7109375" style="74" customWidth="1"/>
    <col min="15863" max="15863" width="7.7109375" style="74" customWidth="1"/>
    <col min="15864" max="15864" width="5.85546875" style="74" bestFit="1" customWidth="1"/>
    <col min="15865" max="15865" width="32" style="74" customWidth="1"/>
    <col min="15866" max="16108" width="9.140625" style="74"/>
    <col min="16109" max="16109" width="4.5703125" style="74" customWidth="1"/>
    <col min="16110" max="16110" width="13.7109375" style="74" customWidth="1"/>
    <col min="16111" max="16111" width="19" style="74" customWidth="1"/>
    <col min="16112" max="16112" width="6.42578125" style="74" customWidth="1"/>
    <col min="16113" max="16113" width="4.140625" style="74" bestFit="1" customWidth="1"/>
    <col min="16114" max="16114" width="3.85546875" style="74" customWidth="1"/>
    <col min="16115" max="16115" width="7.42578125" style="74" customWidth="1"/>
    <col min="16116" max="16116" width="7.28515625" style="74" customWidth="1"/>
    <col min="16117" max="16117" width="5.85546875" style="74" bestFit="1" customWidth="1"/>
    <col min="16118" max="16118" width="9.7109375" style="74" customWidth="1"/>
    <col min="16119" max="16119" width="7.7109375" style="74" customWidth="1"/>
    <col min="16120" max="16120" width="5.85546875" style="74" bestFit="1" customWidth="1"/>
    <col min="16121" max="16121" width="32" style="74" customWidth="1"/>
    <col min="16122" max="16384" width="9.140625" style="74"/>
  </cols>
  <sheetData>
    <row r="1" spans="1:13" x14ac:dyDescent="0.25">
      <c r="A1" s="209" t="s">
        <v>490</v>
      </c>
      <c r="B1" s="209"/>
      <c r="C1" s="209"/>
      <c r="D1" s="209"/>
      <c r="E1" s="209"/>
      <c r="F1" s="209"/>
      <c r="G1" s="209"/>
      <c r="H1" s="209"/>
      <c r="I1" s="209"/>
      <c r="J1" s="209"/>
      <c r="K1" s="209"/>
      <c r="L1" s="209"/>
      <c r="M1" s="127"/>
    </row>
    <row r="2" spans="1:13" x14ac:dyDescent="0.25">
      <c r="A2" s="210" t="str">
        <f>'Biểu 2a'!A2:L2</f>
        <v>(Kèm Văn bản số: 2278/SNN-KH ngày 18 tháng 9 năm 2023 của Sở Nông nghiệp và PTNT)</v>
      </c>
      <c r="B2" s="210"/>
      <c r="C2" s="210"/>
      <c r="D2" s="210"/>
      <c r="E2" s="210"/>
      <c r="F2" s="210"/>
      <c r="G2" s="210"/>
      <c r="H2" s="210"/>
      <c r="I2" s="210"/>
      <c r="J2" s="210"/>
      <c r="K2" s="210"/>
      <c r="L2" s="210"/>
      <c r="M2" s="130"/>
    </row>
    <row r="3" spans="1:13" x14ac:dyDescent="0.25">
      <c r="A3" s="185" t="s">
        <v>0</v>
      </c>
      <c r="B3" s="185" t="s">
        <v>100</v>
      </c>
      <c r="C3" s="211" t="s">
        <v>105</v>
      </c>
      <c r="D3" s="201" t="s">
        <v>18</v>
      </c>
      <c r="E3" s="202"/>
      <c r="F3" s="202"/>
      <c r="G3" s="202"/>
      <c r="H3" s="203"/>
      <c r="I3" s="201" t="s">
        <v>408</v>
      </c>
      <c r="J3" s="202"/>
      <c r="K3" s="203"/>
      <c r="L3" s="185" t="s">
        <v>77</v>
      </c>
      <c r="M3" s="131"/>
    </row>
    <row r="4" spans="1:13" ht="57" x14ac:dyDescent="0.25">
      <c r="A4" s="185"/>
      <c r="B4" s="185"/>
      <c r="C4" s="212"/>
      <c r="D4" s="99" t="s">
        <v>78</v>
      </c>
      <c r="E4" s="99" t="s">
        <v>79</v>
      </c>
      <c r="F4" s="99" t="s">
        <v>80</v>
      </c>
      <c r="G4" s="99" t="s">
        <v>81</v>
      </c>
      <c r="H4" s="99" t="s">
        <v>82</v>
      </c>
      <c r="I4" s="119" t="s">
        <v>412</v>
      </c>
      <c r="J4" s="119" t="s">
        <v>413</v>
      </c>
      <c r="K4" s="121" t="s">
        <v>414</v>
      </c>
      <c r="L4" s="185"/>
      <c r="M4" s="131"/>
    </row>
    <row r="5" spans="1:13" x14ac:dyDescent="0.25">
      <c r="A5" s="201" t="s">
        <v>400</v>
      </c>
      <c r="B5" s="203"/>
      <c r="C5" s="99"/>
      <c r="D5" s="99"/>
      <c r="E5" s="99"/>
      <c r="F5" s="99"/>
      <c r="G5" s="60">
        <f>G6+G25</f>
        <v>162.76</v>
      </c>
      <c r="H5" s="61"/>
      <c r="I5" s="60">
        <f>I6+I25</f>
        <v>35.44</v>
      </c>
      <c r="J5" s="60">
        <f>J6+J25</f>
        <v>32.36</v>
      </c>
      <c r="K5" s="60">
        <f>K6+K25</f>
        <v>3.0800000000000005</v>
      </c>
      <c r="L5" s="164"/>
      <c r="M5" s="131"/>
    </row>
    <row r="6" spans="1:13" x14ac:dyDescent="0.25">
      <c r="A6" s="99" t="s">
        <v>322</v>
      </c>
      <c r="B6" s="201" t="s">
        <v>325</v>
      </c>
      <c r="C6" s="202"/>
      <c r="D6" s="202"/>
      <c r="E6" s="202"/>
      <c r="F6" s="203"/>
      <c r="G6" s="86">
        <f>G7+G12+G15+G19+G23</f>
        <v>20.46</v>
      </c>
      <c r="H6" s="87"/>
      <c r="I6" s="86">
        <f>I7+I12+I15+I19+I23</f>
        <v>5.6099999999999994</v>
      </c>
      <c r="J6" s="86">
        <f>J7+J12+J15+J19+J23</f>
        <v>4.9700000000000006</v>
      </c>
      <c r="K6" s="86">
        <f>K7+K12+K15+K19+K23</f>
        <v>0.64</v>
      </c>
      <c r="L6" s="165"/>
      <c r="M6" s="132"/>
    </row>
    <row r="7" spans="1:13" x14ac:dyDescent="0.25">
      <c r="A7" s="100">
        <v>1</v>
      </c>
      <c r="B7" s="62" t="s">
        <v>13</v>
      </c>
      <c r="C7" s="101"/>
      <c r="D7" s="88"/>
      <c r="E7" s="88"/>
      <c r="F7" s="88"/>
      <c r="G7" s="92">
        <f>SUM(G8:G11)</f>
        <v>3.34</v>
      </c>
      <c r="H7" s="87"/>
      <c r="I7" s="92">
        <f>SUM(I8:I11)</f>
        <v>0.64999999999999991</v>
      </c>
      <c r="J7" s="92">
        <f>SUM(J8:J11)</f>
        <v>0.64999999999999991</v>
      </c>
      <c r="K7" s="92">
        <f>SUM(K8:K11)</f>
        <v>0</v>
      </c>
      <c r="L7" s="165"/>
      <c r="M7" s="132"/>
    </row>
    <row r="8" spans="1:13" x14ac:dyDescent="0.25">
      <c r="A8" s="198" t="s">
        <v>334</v>
      </c>
      <c r="B8" s="208" t="s">
        <v>276</v>
      </c>
      <c r="C8" s="200">
        <v>2020</v>
      </c>
      <c r="D8" s="103">
        <v>161</v>
      </c>
      <c r="E8" s="103">
        <v>4</v>
      </c>
      <c r="F8" s="103" t="s">
        <v>42</v>
      </c>
      <c r="G8" s="17">
        <v>0.48</v>
      </c>
      <c r="H8" s="16">
        <v>1700</v>
      </c>
      <c r="I8" s="145">
        <v>3.999999999999998E-2</v>
      </c>
      <c r="J8" s="145">
        <v>3.999999999999998E-2</v>
      </c>
      <c r="K8" s="118"/>
      <c r="L8" s="46" t="s">
        <v>303</v>
      </c>
      <c r="M8" s="133"/>
    </row>
    <row r="9" spans="1:13" x14ac:dyDescent="0.25">
      <c r="A9" s="198"/>
      <c r="B9" s="208"/>
      <c r="C9" s="200"/>
      <c r="D9" s="103">
        <v>161</v>
      </c>
      <c r="E9" s="103">
        <v>4</v>
      </c>
      <c r="F9" s="103" t="s">
        <v>43</v>
      </c>
      <c r="G9" s="12">
        <v>0.71</v>
      </c>
      <c r="H9" s="16">
        <v>2000</v>
      </c>
      <c r="I9" s="145">
        <v>9.9999999999999978E-2</v>
      </c>
      <c r="J9" s="145">
        <v>9.9999999999999978E-2</v>
      </c>
      <c r="K9" s="118"/>
      <c r="L9" s="46" t="s">
        <v>304</v>
      </c>
      <c r="M9" s="133"/>
    </row>
    <row r="10" spans="1:13" x14ac:dyDescent="0.25">
      <c r="A10" s="198"/>
      <c r="B10" s="208"/>
      <c r="C10" s="200"/>
      <c r="D10" s="103">
        <v>167</v>
      </c>
      <c r="E10" s="103">
        <v>1</v>
      </c>
      <c r="F10" s="103" t="s">
        <v>44</v>
      </c>
      <c r="G10" s="17">
        <v>0.97</v>
      </c>
      <c r="H10" s="16">
        <v>1900</v>
      </c>
      <c r="I10" s="145">
        <v>0.41999999999999993</v>
      </c>
      <c r="J10" s="145">
        <v>0.41999999999999993</v>
      </c>
      <c r="K10" s="118"/>
      <c r="L10" s="46" t="s">
        <v>305</v>
      </c>
      <c r="M10" s="133"/>
    </row>
    <row r="11" spans="1:13" ht="30" x14ac:dyDescent="0.25">
      <c r="A11" s="103" t="s">
        <v>335</v>
      </c>
      <c r="B11" s="102" t="s">
        <v>277</v>
      </c>
      <c r="C11" s="101">
        <v>2021</v>
      </c>
      <c r="D11" s="103">
        <v>161</v>
      </c>
      <c r="E11" s="103">
        <v>4</v>
      </c>
      <c r="F11" s="103">
        <v>2</v>
      </c>
      <c r="G11" s="12">
        <v>1.18</v>
      </c>
      <c r="H11" s="16">
        <v>2220</v>
      </c>
      <c r="I11" s="145">
        <v>9.000000000000008E-2</v>
      </c>
      <c r="J11" s="145">
        <v>9.000000000000008E-2</v>
      </c>
      <c r="K11" s="118"/>
      <c r="L11" s="46" t="s">
        <v>306</v>
      </c>
      <c r="M11" s="133"/>
    </row>
    <row r="12" spans="1:13" x14ac:dyDescent="0.25">
      <c r="A12" s="100">
        <v>2</v>
      </c>
      <c r="B12" s="62" t="s">
        <v>7</v>
      </c>
      <c r="C12" s="101"/>
      <c r="D12" s="88"/>
      <c r="E12" s="88"/>
      <c r="F12" s="88"/>
      <c r="G12" s="92">
        <f>SUM(G13:G14)</f>
        <v>2.73</v>
      </c>
      <c r="H12" s="87"/>
      <c r="I12" s="92">
        <f>SUM(I13:I14)</f>
        <v>0.8500000000000002</v>
      </c>
      <c r="J12" s="92">
        <f>SUM(J13:J14)</f>
        <v>0.21000000000000019</v>
      </c>
      <c r="K12" s="92">
        <f>SUM(K13:K14)</f>
        <v>0.64</v>
      </c>
      <c r="L12" s="164"/>
      <c r="M12" s="135"/>
    </row>
    <row r="13" spans="1:13" ht="30" x14ac:dyDescent="0.25">
      <c r="A13" s="103" t="s">
        <v>14</v>
      </c>
      <c r="B13" s="102" t="s">
        <v>279</v>
      </c>
      <c r="C13" s="101">
        <v>2020</v>
      </c>
      <c r="D13" s="103" t="s">
        <v>54</v>
      </c>
      <c r="E13" s="103">
        <v>4</v>
      </c>
      <c r="F13" s="103" t="s">
        <v>26</v>
      </c>
      <c r="G13" s="12">
        <v>1.86</v>
      </c>
      <c r="H13" s="16">
        <v>2010</v>
      </c>
      <c r="I13" s="145">
        <v>0.21000000000000019</v>
      </c>
      <c r="J13" s="145">
        <v>0.21000000000000019</v>
      </c>
      <c r="K13" s="118"/>
      <c r="L13" s="46" t="s">
        <v>357</v>
      </c>
      <c r="M13" s="133"/>
    </row>
    <row r="14" spans="1:13" ht="30" x14ac:dyDescent="0.25">
      <c r="A14" s="103" t="s">
        <v>15</v>
      </c>
      <c r="B14" s="102" t="s">
        <v>281</v>
      </c>
      <c r="C14" s="101">
        <v>2022</v>
      </c>
      <c r="D14" s="103">
        <v>149</v>
      </c>
      <c r="E14" s="103">
        <v>11</v>
      </c>
      <c r="F14" s="103">
        <v>1</v>
      </c>
      <c r="G14" s="17">
        <v>0.87</v>
      </c>
      <c r="H14" s="16">
        <v>2020</v>
      </c>
      <c r="I14" s="145">
        <v>0.64</v>
      </c>
      <c r="J14" s="112"/>
      <c r="K14" s="145">
        <v>0.64</v>
      </c>
      <c r="L14" s="46" t="s">
        <v>356</v>
      </c>
      <c r="M14" s="133"/>
    </row>
    <row r="15" spans="1:13" x14ac:dyDescent="0.25">
      <c r="A15" s="100">
        <v>3</v>
      </c>
      <c r="B15" s="62" t="s">
        <v>5</v>
      </c>
      <c r="C15" s="101"/>
      <c r="D15" s="88"/>
      <c r="E15" s="88"/>
      <c r="F15" s="88"/>
      <c r="G15" s="92">
        <f>SUM(G16:G18)</f>
        <v>2.87</v>
      </c>
      <c r="H15" s="87"/>
      <c r="I15" s="92">
        <f>SUM(I16:I18)</f>
        <v>2.87</v>
      </c>
      <c r="J15" s="92">
        <f>SUM(J16:J18)</f>
        <v>2.87</v>
      </c>
      <c r="K15" s="92">
        <f>SUM(K16:K18)</f>
        <v>0</v>
      </c>
      <c r="L15" s="164"/>
      <c r="M15" s="135"/>
    </row>
    <row r="16" spans="1:13" ht="30" x14ac:dyDescent="0.25">
      <c r="A16" s="103" t="s">
        <v>428</v>
      </c>
      <c r="B16" s="102" t="s">
        <v>279</v>
      </c>
      <c r="C16" s="101">
        <v>2020</v>
      </c>
      <c r="D16" s="107">
        <v>237</v>
      </c>
      <c r="E16" s="107">
        <v>9</v>
      </c>
      <c r="F16" s="107" t="s">
        <v>37</v>
      </c>
      <c r="G16" s="12">
        <v>0.86</v>
      </c>
      <c r="H16" s="16">
        <v>1980</v>
      </c>
      <c r="I16" s="145">
        <v>0.86</v>
      </c>
      <c r="J16" s="145">
        <v>0.86</v>
      </c>
      <c r="K16" s="118"/>
      <c r="L16" s="166" t="s">
        <v>404</v>
      </c>
      <c r="M16" s="136"/>
    </row>
    <row r="17" spans="1:15" x14ac:dyDescent="0.25">
      <c r="A17" s="198" t="s">
        <v>436</v>
      </c>
      <c r="B17" s="208" t="s">
        <v>286</v>
      </c>
      <c r="C17" s="200">
        <v>2021</v>
      </c>
      <c r="D17" s="107">
        <v>238</v>
      </c>
      <c r="E17" s="107">
        <v>2</v>
      </c>
      <c r="F17" s="107">
        <v>1</v>
      </c>
      <c r="G17" s="146">
        <v>0.87</v>
      </c>
      <c r="H17" s="16">
        <v>2060</v>
      </c>
      <c r="I17" s="145">
        <v>0.87</v>
      </c>
      <c r="J17" s="145">
        <v>0.87</v>
      </c>
      <c r="K17" s="118"/>
      <c r="L17" s="166" t="s">
        <v>404</v>
      </c>
      <c r="M17" s="136"/>
    </row>
    <row r="18" spans="1:15" x14ac:dyDescent="0.25">
      <c r="A18" s="198"/>
      <c r="B18" s="208"/>
      <c r="C18" s="200"/>
      <c r="D18" s="107">
        <v>238</v>
      </c>
      <c r="E18" s="107">
        <v>4</v>
      </c>
      <c r="F18" s="107">
        <v>1</v>
      </c>
      <c r="G18" s="146">
        <v>1.1399999999999999</v>
      </c>
      <c r="H18" s="16">
        <v>2060</v>
      </c>
      <c r="I18" s="145">
        <v>1.1399999999999999</v>
      </c>
      <c r="J18" s="145">
        <v>1.1399999999999999</v>
      </c>
      <c r="K18" s="118"/>
      <c r="L18" s="166" t="s">
        <v>404</v>
      </c>
      <c r="M18" s="136"/>
    </row>
    <row r="19" spans="1:15" x14ac:dyDescent="0.25">
      <c r="A19" s="100">
        <v>4</v>
      </c>
      <c r="B19" s="62" t="s">
        <v>3</v>
      </c>
      <c r="C19" s="101"/>
      <c r="D19" s="88"/>
      <c r="E19" s="88"/>
      <c r="F19" s="88"/>
      <c r="G19" s="92">
        <f>SUM(G20:G22)</f>
        <v>9.4899999999999984</v>
      </c>
      <c r="H19" s="87"/>
      <c r="I19" s="92">
        <f>SUM(I20:I22)</f>
        <v>0.66999999999999982</v>
      </c>
      <c r="J19" s="92">
        <f>SUM(J20:J22)</f>
        <v>0.66999999999999982</v>
      </c>
      <c r="K19" s="92">
        <f>SUM(K20:K22)</f>
        <v>0</v>
      </c>
      <c r="L19" s="164"/>
      <c r="M19" s="131"/>
    </row>
    <row r="20" spans="1:15" ht="30" x14ac:dyDescent="0.25">
      <c r="A20" s="103" t="s">
        <v>429</v>
      </c>
      <c r="B20" s="102" t="s">
        <v>291</v>
      </c>
      <c r="C20" s="106">
        <v>2020</v>
      </c>
      <c r="D20" s="103">
        <v>181</v>
      </c>
      <c r="E20" s="103">
        <v>8</v>
      </c>
      <c r="F20" s="103">
        <v>3</v>
      </c>
      <c r="G20" s="12">
        <v>3.65</v>
      </c>
      <c r="H20" s="16">
        <v>2000</v>
      </c>
      <c r="I20" s="145">
        <v>0.35999999999999988</v>
      </c>
      <c r="J20" s="145">
        <v>0.35999999999999988</v>
      </c>
      <c r="K20" s="118"/>
      <c r="L20" s="46" t="s">
        <v>358</v>
      </c>
      <c r="M20" s="133"/>
    </row>
    <row r="21" spans="1:15" ht="30" x14ac:dyDescent="0.25">
      <c r="A21" s="124" t="s">
        <v>430</v>
      </c>
      <c r="B21" s="123" t="s">
        <v>293</v>
      </c>
      <c r="C21" s="125">
        <v>2022</v>
      </c>
      <c r="D21" s="107">
        <v>198</v>
      </c>
      <c r="E21" s="107">
        <v>5</v>
      </c>
      <c r="F21" s="107">
        <v>1</v>
      </c>
      <c r="G21" s="12">
        <v>4.8</v>
      </c>
      <c r="H21" s="16">
        <v>2100</v>
      </c>
      <c r="I21" s="14">
        <v>0.2</v>
      </c>
      <c r="J21" s="43">
        <v>0.2</v>
      </c>
      <c r="K21" s="110"/>
      <c r="L21" s="166" t="s">
        <v>360</v>
      </c>
      <c r="M21" s="91"/>
      <c r="N21" s="74">
        <f t="shared" ref="N21" si="0">J21/2220*100</f>
        <v>9.0090090090090089E-3</v>
      </c>
      <c r="O21" s="85">
        <f t="shared" ref="O21" si="1">N21-85</f>
        <v>-84.990990990990994</v>
      </c>
    </row>
    <row r="22" spans="1:15" ht="30" x14ac:dyDescent="0.25">
      <c r="A22" s="103" t="s">
        <v>441</v>
      </c>
      <c r="B22" s="102" t="s">
        <v>295</v>
      </c>
      <c r="C22" s="106">
        <v>2022</v>
      </c>
      <c r="D22" s="103">
        <v>38</v>
      </c>
      <c r="E22" s="103">
        <v>10</v>
      </c>
      <c r="F22" s="103">
        <v>1</v>
      </c>
      <c r="G22" s="17">
        <v>1.04</v>
      </c>
      <c r="H22" s="16">
        <v>2100</v>
      </c>
      <c r="I22" s="145">
        <v>0.10999999999999999</v>
      </c>
      <c r="J22" s="145">
        <v>0.10999999999999999</v>
      </c>
      <c r="K22" s="118"/>
      <c r="L22" s="166" t="s">
        <v>359</v>
      </c>
      <c r="M22" s="136"/>
    </row>
    <row r="23" spans="1:15" x14ac:dyDescent="0.25">
      <c r="A23" s="100">
        <v>5</v>
      </c>
      <c r="B23" s="62" t="s">
        <v>11</v>
      </c>
      <c r="C23" s="101"/>
      <c r="D23" s="88"/>
      <c r="E23" s="88"/>
      <c r="F23" s="88"/>
      <c r="G23" s="92">
        <f>SUM(G24:G24)</f>
        <v>2.0299999999999998</v>
      </c>
      <c r="H23" s="87"/>
      <c r="I23" s="92">
        <f>SUM(I24:I24)</f>
        <v>0.56999999999999984</v>
      </c>
      <c r="J23" s="92">
        <f>SUM(J24:J24)</f>
        <v>0.56999999999999984</v>
      </c>
      <c r="K23" s="92">
        <f>SUM(K24:K24)</f>
        <v>0</v>
      </c>
      <c r="L23" s="164"/>
      <c r="M23" s="131"/>
    </row>
    <row r="24" spans="1:15" ht="60" x14ac:dyDescent="0.25">
      <c r="A24" s="198" t="s">
        <v>431</v>
      </c>
      <c r="B24" s="123" t="s">
        <v>302</v>
      </c>
      <c r="C24" s="45">
        <v>2019</v>
      </c>
      <c r="D24" s="106">
        <v>531</v>
      </c>
      <c r="E24" s="106">
        <v>4</v>
      </c>
      <c r="F24" s="106">
        <v>2</v>
      </c>
      <c r="G24" s="38">
        <v>2.0299999999999998</v>
      </c>
      <c r="H24" s="18">
        <v>359</v>
      </c>
      <c r="I24" s="145">
        <v>0.56999999999999984</v>
      </c>
      <c r="J24" s="145">
        <v>0.56999999999999984</v>
      </c>
      <c r="K24" s="118"/>
      <c r="L24" s="47" t="s">
        <v>363</v>
      </c>
      <c r="M24" s="138"/>
    </row>
    <row r="25" spans="1:15" x14ac:dyDescent="0.25">
      <c r="A25" s="99" t="s">
        <v>324</v>
      </c>
      <c r="B25" s="201" t="s">
        <v>323</v>
      </c>
      <c r="C25" s="202"/>
      <c r="D25" s="202"/>
      <c r="E25" s="202"/>
      <c r="F25" s="203"/>
      <c r="G25" s="94">
        <f>G26+G31+G34+G46+G51+G60+G62+G69+G79+G82+G95+G97</f>
        <v>142.29999999999998</v>
      </c>
      <c r="H25" s="88"/>
      <c r="I25" s="94">
        <f>I26+I31+I34+I46+I51+I60+I62+I69+I79+I82+I95+I97</f>
        <v>29.830000000000002</v>
      </c>
      <c r="J25" s="94">
        <f>J26+J31+J34+J46+J51+J60+J62+J69+J79+J82+J95+J97</f>
        <v>27.39</v>
      </c>
      <c r="K25" s="94">
        <f>K26+K31+K34+K46+K51+K60+K62+K69+K79+K82+K95+K97</f>
        <v>2.4400000000000004</v>
      </c>
      <c r="L25" s="47"/>
      <c r="M25" s="138"/>
    </row>
    <row r="26" spans="1:15" x14ac:dyDescent="0.25">
      <c r="A26" s="100">
        <v>1</v>
      </c>
      <c r="B26" s="31" t="s">
        <v>16</v>
      </c>
      <c r="C26" s="101"/>
      <c r="D26" s="88"/>
      <c r="E26" s="88"/>
      <c r="F26" s="88"/>
      <c r="G26" s="92">
        <f>SUM(G27:G30)</f>
        <v>11.57</v>
      </c>
      <c r="H26" s="96"/>
      <c r="I26" s="92">
        <f>SUM(I27:I30)</f>
        <v>1.3700000000000008</v>
      </c>
      <c r="J26" s="92">
        <f>SUM(J27:J30)</f>
        <v>1.1500000000000001</v>
      </c>
      <c r="K26" s="92">
        <f>SUM(K27:K30)</f>
        <v>0.22000000000000064</v>
      </c>
      <c r="L26" s="164"/>
      <c r="M26" s="135"/>
    </row>
    <row r="27" spans="1:15" ht="60" x14ac:dyDescent="0.25">
      <c r="A27" s="160" t="s">
        <v>334</v>
      </c>
      <c r="B27" s="126" t="s">
        <v>103</v>
      </c>
      <c r="C27" s="125">
        <v>2015</v>
      </c>
      <c r="D27" s="101">
        <v>125</v>
      </c>
      <c r="E27" s="101">
        <v>4</v>
      </c>
      <c r="F27" s="101" t="s">
        <v>23</v>
      </c>
      <c r="G27" s="2">
        <v>1.74</v>
      </c>
      <c r="H27" s="3">
        <v>1700</v>
      </c>
      <c r="I27" s="145">
        <v>0.19999999999999996</v>
      </c>
      <c r="J27" s="145">
        <v>0.19999999999999996</v>
      </c>
      <c r="K27" s="118"/>
      <c r="L27" s="167" t="s">
        <v>24</v>
      </c>
      <c r="M27" s="140"/>
    </row>
    <row r="28" spans="1:15" ht="60" x14ac:dyDescent="0.25">
      <c r="A28" s="160" t="s">
        <v>335</v>
      </c>
      <c r="B28" s="104" t="s">
        <v>104</v>
      </c>
      <c r="C28" s="106">
        <v>2015</v>
      </c>
      <c r="D28" s="101">
        <v>125</v>
      </c>
      <c r="E28" s="101">
        <v>7</v>
      </c>
      <c r="F28" s="101" t="s">
        <v>26</v>
      </c>
      <c r="G28" s="2">
        <v>4.8499999999999996</v>
      </c>
      <c r="H28" s="3">
        <v>1700</v>
      </c>
      <c r="I28" s="145">
        <v>0.95000000000000018</v>
      </c>
      <c r="J28" s="145">
        <v>0.95000000000000018</v>
      </c>
      <c r="K28" s="118"/>
      <c r="L28" s="167" t="s">
        <v>338</v>
      </c>
      <c r="M28" s="140"/>
    </row>
    <row r="29" spans="1:15" ht="30" x14ac:dyDescent="0.25">
      <c r="A29" s="198" t="s">
        <v>336</v>
      </c>
      <c r="B29" s="204" t="s">
        <v>275</v>
      </c>
      <c r="C29" s="215">
        <v>2016</v>
      </c>
      <c r="D29" s="101">
        <v>91</v>
      </c>
      <c r="E29" s="101">
        <v>8</v>
      </c>
      <c r="F29" s="101" t="s">
        <v>27</v>
      </c>
      <c r="G29" s="2">
        <v>3.0700000000000003</v>
      </c>
      <c r="H29" s="3">
        <v>1700</v>
      </c>
      <c r="I29" s="145">
        <v>0.1800000000000006</v>
      </c>
      <c r="J29" s="117"/>
      <c r="K29" s="145">
        <v>0.1800000000000006</v>
      </c>
      <c r="L29" s="167" t="s">
        <v>339</v>
      </c>
      <c r="M29" s="140"/>
    </row>
    <row r="30" spans="1:15" ht="30" x14ac:dyDescent="0.25">
      <c r="A30" s="198"/>
      <c r="B30" s="205"/>
      <c r="C30" s="216"/>
      <c r="D30" s="101">
        <v>92</v>
      </c>
      <c r="E30" s="101">
        <v>7</v>
      </c>
      <c r="F30" s="101" t="s">
        <v>26</v>
      </c>
      <c r="G30" s="2">
        <v>1.91</v>
      </c>
      <c r="H30" s="3">
        <v>1700</v>
      </c>
      <c r="I30" s="145">
        <v>4.0000000000000036E-2</v>
      </c>
      <c r="J30" s="117"/>
      <c r="K30" s="145">
        <v>4.0000000000000036E-2</v>
      </c>
      <c r="L30" s="167" t="s">
        <v>340</v>
      </c>
      <c r="M30" s="140"/>
    </row>
    <row r="31" spans="1:15" x14ac:dyDescent="0.25">
      <c r="A31" s="100">
        <v>2</v>
      </c>
      <c r="B31" s="31" t="s">
        <v>6</v>
      </c>
      <c r="C31" s="101"/>
      <c r="D31" s="88"/>
      <c r="E31" s="88"/>
      <c r="F31" s="88"/>
      <c r="G31" s="92">
        <f>SUM(G32:G33)</f>
        <v>7.3599999999999994</v>
      </c>
      <c r="H31" s="97"/>
      <c r="I31" s="92">
        <f>SUM(I32:I33)</f>
        <v>0.36999999999999966</v>
      </c>
      <c r="J31" s="92">
        <f>SUM(J32:J33)</f>
        <v>0.36999999999999966</v>
      </c>
      <c r="K31" s="92">
        <f>SUM(K32:K33)</f>
        <v>0</v>
      </c>
      <c r="L31" s="165"/>
      <c r="M31" s="132"/>
    </row>
    <row r="32" spans="1:15" ht="60" x14ac:dyDescent="0.25">
      <c r="A32" s="103" t="s">
        <v>14</v>
      </c>
      <c r="B32" s="104" t="s">
        <v>109</v>
      </c>
      <c r="C32" s="106">
        <v>2015</v>
      </c>
      <c r="D32" s="103">
        <v>93</v>
      </c>
      <c r="E32" s="103">
        <v>1</v>
      </c>
      <c r="F32" s="103" t="s">
        <v>30</v>
      </c>
      <c r="G32" s="12">
        <v>4.54</v>
      </c>
      <c r="H32" s="16">
        <v>2000</v>
      </c>
      <c r="I32" s="145">
        <v>0.12999999999999989</v>
      </c>
      <c r="J32" s="145">
        <v>0.12999999999999989</v>
      </c>
      <c r="K32" s="118"/>
      <c r="L32" s="46" t="s">
        <v>341</v>
      </c>
      <c r="M32" s="133"/>
    </row>
    <row r="33" spans="1:13" ht="30" x14ac:dyDescent="0.25">
      <c r="A33" s="103" t="s">
        <v>15</v>
      </c>
      <c r="B33" s="104" t="s">
        <v>108</v>
      </c>
      <c r="C33" s="106">
        <v>2016</v>
      </c>
      <c r="D33" s="103">
        <v>93</v>
      </c>
      <c r="E33" s="103">
        <v>3</v>
      </c>
      <c r="F33" s="103" t="s">
        <v>31</v>
      </c>
      <c r="G33" s="12">
        <v>2.82</v>
      </c>
      <c r="H33" s="16">
        <v>1338</v>
      </c>
      <c r="I33" s="145">
        <v>0.23999999999999977</v>
      </c>
      <c r="J33" s="145">
        <v>0.23999999999999977</v>
      </c>
      <c r="K33" s="118"/>
      <c r="L33" s="46" t="s">
        <v>342</v>
      </c>
      <c r="M33" s="133"/>
    </row>
    <row r="34" spans="1:13" x14ac:dyDescent="0.25">
      <c r="A34" s="100">
        <v>3</v>
      </c>
      <c r="B34" s="31" t="s">
        <v>13</v>
      </c>
      <c r="C34" s="101"/>
      <c r="D34" s="88"/>
      <c r="E34" s="88"/>
      <c r="F34" s="88"/>
      <c r="G34" s="92">
        <f>SUM(G35:G45)</f>
        <v>14.360000000000001</v>
      </c>
      <c r="H34" s="87"/>
      <c r="I34" s="92">
        <f>SUM(I35:I45)</f>
        <v>4.43</v>
      </c>
      <c r="J34" s="92">
        <f>SUM(J35:J45)</f>
        <v>4.43</v>
      </c>
      <c r="K34" s="92">
        <f>SUM(K35:K45)</f>
        <v>0</v>
      </c>
      <c r="L34" s="164"/>
      <c r="M34" s="135"/>
    </row>
    <row r="35" spans="1:13" ht="30" x14ac:dyDescent="0.25">
      <c r="A35" s="103" t="s">
        <v>428</v>
      </c>
      <c r="B35" s="104" t="s">
        <v>114</v>
      </c>
      <c r="C35" s="106">
        <v>2015</v>
      </c>
      <c r="D35" s="103">
        <v>167</v>
      </c>
      <c r="E35" s="103">
        <v>2</v>
      </c>
      <c r="F35" s="103" t="s">
        <v>33</v>
      </c>
      <c r="G35" s="12">
        <v>1.27</v>
      </c>
      <c r="H35" s="16">
        <v>1980</v>
      </c>
      <c r="I35" s="145">
        <v>0.10000000000000009</v>
      </c>
      <c r="J35" s="145">
        <v>0.10000000000000009</v>
      </c>
      <c r="K35" s="118"/>
      <c r="L35" s="168"/>
      <c r="M35" s="134"/>
    </row>
    <row r="36" spans="1:13" x14ac:dyDescent="0.25">
      <c r="A36" s="198" t="s">
        <v>436</v>
      </c>
      <c r="B36" s="199" t="s">
        <v>118</v>
      </c>
      <c r="C36" s="200">
        <v>2016</v>
      </c>
      <c r="D36" s="103">
        <v>155</v>
      </c>
      <c r="E36" s="103">
        <v>6</v>
      </c>
      <c r="F36" s="103" t="s">
        <v>32</v>
      </c>
      <c r="G36" s="12">
        <v>2.2000000000000002</v>
      </c>
      <c r="H36" s="16">
        <v>1970</v>
      </c>
      <c r="I36" s="145">
        <v>1.0000000000000002</v>
      </c>
      <c r="J36" s="145">
        <v>1.0000000000000002</v>
      </c>
      <c r="K36" s="118"/>
      <c r="L36" s="169"/>
      <c r="M36" s="141"/>
    </row>
    <row r="37" spans="1:13" x14ac:dyDescent="0.25">
      <c r="A37" s="198"/>
      <c r="B37" s="199"/>
      <c r="C37" s="200"/>
      <c r="D37" s="103">
        <v>167</v>
      </c>
      <c r="E37" s="103">
        <v>1</v>
      </c>
      <c r="F37" s="103" t="s">
        <v>36</v>
      </c>
      <c r="G37" s="12">
        <v>3</v>
      </c>
      <c r="H37" s="16">
        <v>1980</v>
      </c>
      <c r="I37" s="145">
        <v>0.37000000000000011</v>
      </c>
      <c r="J37" s="145">
        <v>0.37000000000000011</v>
      </c>
      <c r="K37" s="118"/>
      <c r="L37" s="169"/>
      <c r="M37" s="141"/>
    </row>
    <row r="38" spans="1:13" x14ac:dyDescent="0.25">
      <c r="A38" s="198" t="s">
        <v>438</v>
      </c>
      <c r="B38" s="199" t="s">
        <v>120</v>
      </c>
      <c r="C38" s="200">
        <v>2017</v>
      </c>
      <c r="D38" s="103">
        <v>168</v>
      </c>
      <c r="E38" s="103">
        <v>3</v>
      </c>
      <c r="F38" s="103" t="s">
        <v>37</v>
      </c>
      <c r="G38" s="12">
        <v>1.46</v>
      </c>
      <c r="H38" s="16">
        <v>2003</v>
      </c>
      <c r="I38" s="145">
        <v>0.33999999999999986</v>
      </c>
      <c r="J38" s="145">
        <v>0.33999999999999986</v>
      </c>
      <c r="K38" s="118"/>
      <c r="L38" s="169"/>
      <c r="M38" s="141"/>
    </row>
    <row r="39" spans="1:13" x14ac:dyDescent="0.25">
      <c r="A39" s="198"/>
      <c r="B39" s="199"/>
      <c r="C39" s="200"/>
      <c r="D39" s="103">
        <v>168</v>
      </c>
      <c r="E39" s="103">
        <v>5</v>
      </c>
      <c r="F39" s="103" t="s">
        <v>38</v>
      </c>
      <c r="G39" s="12">
        <v>0.57999999999999996</v>
      </c>
      <c r="H39" s="16">
        <v>2083</v>
      </c>
      <c r="I39" s="145">
        <v>0.12999999999999995</v>
      </c>
      <c r="J39" s="145">
        <v>0.12999999999999995</v>
      </c>
      <c r="K39" s="118"/>
      <c r="L39" s="169"/>
      <c r="M39" s="141"/>
    </row>
    <row r="40" spans="1:13" x14ac:dyDescent="0.25">
      <c r="A40" s="198"/>
      <c r="B40" s="199"/>
      <c r="C40" s="200"/>
      <c r="D40" s="103">
        <v>168</v>
      </c>
      <c r="E40" s="103">
        <v>7</v>
      </c>
      <c r="F40" s="103" t="s">
        <v>33</v>
      </c>
      <c r="G40" s="12">
        <v>0.97</v>
      </c>
      <c r="H40" s="16">
        <v>2053</v>
      </c>
      <c r="I40" s="145">
        <v>0.14000000000000001</v>
      </c>
      <c r="J40" s="145">
        <v>0.14000000000000001</v>
      </c>
      <c r="K40" s="118"/>
      <c r="L40" s="169"/>
      <c r="M40" s="141"/>
    </row>
    <row r="41" spans="1:13" x14ac:dyDescent="0.25">
      <c r="A41" s="198" t="s">
        <v>437</v>
      </c>
      <c r="B41" s="199" t="s">
        <v>122</v>
      </c>
      <c r="C41" s="200">
        <v>2018</v>
      </c>
      <c r="D41" s="103">
        <v>168</v>
      </c>
      <c r="E41" s="103">
        <v>2</v>
      </c>
      <c r="F41" s="103" t="s">
        <v>32</v>
      </c>
      <c r="G41" s="12">
        <v>0.38</v>
      </c>
      <c r="H41" s="16">
        <v>2084</v>
      </c>
      <c r="I41" s="145">
        <v>4.9999999999999989E-2</v>
      </c>
      <c r="J41" s="145">
        <v>4.9999999999999989E-2</v>
      </c>
      <c r="K41" s="118"/>
      <c r="L41" s="169"/>
      <c r="M41" s="141"/>
    </row>
    <row r="42" spans="1:13" x14ac:dyDescent="0.25">
      <c r="A42" s="198"/>
      <c r="B42" s="199"/>
      <c r="C42" s="200"/>
      <c r="D42" s="103">
        <v>168</v>
      </c>
      <c r="E42" s="103">
        <v>11</v>
      </c>
      <c r="F42" s="103" t="s">
        <v>33</v>
      </c>
      <c r="G42" s="12">
        <v>0.4</v>
      </c>
      <c r="H42" s="16">
        <v>2060</v>
      </c>
      <c r="I42" s="145">
        <v>7.0000000000000007E-2</v>
      </c>
      <c r="J42" s="145">
        <v>7.0000000000000007E-2</v>
      </c>
      <c r="K42" s="118"/>
      <c r="L42" s="169"/>
      <c r="M42" s="141"/>
    </row>
    <row r="43" spans="1:13" ht="30" x14ac:dyDescent="0.25">
      <c r="A43" s="103" t="s">
        <v>439</v>
      </c>
      <c r="B43" s="104" t="s">
        <v>124</v>
      </c>
      <c r="C43" s="101">
        <v>2018</v>
      </c>
      <c r="D43" s="107" t="s">
        <v>39</v>
      </c>
      <c r="E43" s="107">
        <v>3</v>
      </c>
      <c r="F43" s="107" t="s">
        <v>22</v>
      </c>
      <c r="G43" s="12">
        <v>0.92</v>
      </c>
      <c r="H43" s="16">
        <v>2061</v>
      </c>
      <c r="I43" s="145">
        <v>0.57000000000000006</v>
      </c>
      <c r="J43" s="145">
        <v>0.57000000000000006</v>
      </c>
      <c r="K43" s="118"/>
      <c r="L43" s="169"/>
      <c r="M43" s="141"/>
    </row>
    <row r="44" spans="1:13" x14ac:dyDescent="0.25">
      <c r="A44" s="198" t="s">
        <v>440</v>
      </c>
      <c r="B44" s="199" t="s">
        <v>126</v>
      </c>
      <c r="C44" s="200">
        <v>2019</v>
      </c>
      <c r="D44" s="103" t="s">
        <v>40</v>
      </c>
      <c r="E44" s="103">
        <v>10</v>
      </c>
      <c r="F44" s="103" t="s">
        <v>41</v>
      </c>
      <c r="G44" s="12">
        <v>1.1499999999999999</v>
      </c>
      <c r="H44" s="16">
        <v>1700</v>
      </c>
      <c r="I44" s="145">
        <v>0.44999999999999996</v>
      </c>
      <c r="J44" s="145">
        <v>0.44999999999999996</v>
      </c>
      <c r="K44" s="118"/>
      <c r="L44" s="169" t="s">
        <v>416</v>
      </c>
      <c r="M44" s="141"/>
    </row>
    <row r="45" spans="1:13" x14ac:dyDescent="0.25">
      <c r="A45" s="198"/>
      <c r="B45" s="199"/>
      <c r="C45" s="200"/>
      <c r="D45" s="103" t="s">
        <v>40</v>
      </c>
      <c r="E45" s="103">
        <v>13</v>
      </c>
      <c r="F45" s="103" t="s">
        <v>32</v>
      </c>
      <c r="G45" s="12">
        <v>2.0299999999999998</v>
      </c>
      <c r="H45" s="16">
        <v>1750</v>
      </c>
      <c r="I45" s="145">
        <v>1.21</v>
      </c>
      <c r="J45" s="145">
        <v>1.21</v>
      </c>
      <c r="K45" s="118"/>
      <c r="L45" s="169" t="s">
        <v>416</v>
      </c>
      <c r="M45" s="141"/>
    </row>
    <row r="46" spans="1:13" ht="28.5" x14ac:dyDescent="0.25">
      <c r="A46" s="100">
        <v>4</v>
      </c>
      <c r="B46" s="31" t="s">
        <v>92</v>
      </c>
      <c r="C46" s="101"/>
      <c r="D46" s="88"/>
      <c r="E46" s="88"/>
      <c r="F46" s="88"/>
      <c r="G46" s="92">
        <f>SUM(G47:G50)</f>
        <v>8.65</v>
      </c>
      <c r="H46" s="87"/>
      <c r="I46" s="92">
        <f>SUM(I47:I50)</f>
        <v>1.1799999999999995</v>
      </c>
      <c r="J46" s="92">
        <f>SUM(J47:J50)</f>
        <v>1.1799999999999995</v>
      </c>
      <c r="K46" s="92">
        <f>SUM(K47:K50)</f>
        <v>0</v>
      </c>
      <c r="L46" s="164"/>
      <c r="M46" s="135"/>
    </row>
    <row r="47" spans="1:13" ht="45" x14ac:dyDescent="0.25">
      <c r="A47" s="160" t="s">
        <v>429</v>
      </c>
      <c r="B47" s="104" t="s">
        <v>130</v>
      </c>
      <c r="C47" s="101">
        <v>2015</v>
      </c>
      <c r="D47" s="101" t="s">
        <v>45</v>
      </c>
      <c r="E47" s="101">
        <v>9</v>
      </c>
      <c r="F47" s="101" t="s">
        <v>28</v>
      </c>
      <c r="G47" s="2">
        <v>2.8</v>
      </c>
      <c r="H47" s="3">
        <v>1931</v>
      </c>
      <c r="I47" s="145">
        <v>0.17999999999999972</v>
      </c>
      <c r="J47" s="145">
        <v>0.17999999999999972</v>
      </c>
      <c r="K47" s="118"/>
      <c r="L47" s="46" t="s">
        <v>307</v>
      </c>
      <c r="M47" s="133"/>
    </row>
    <row r="48" spans="1:13" ht="30" x14ac:dyDescent="0.25">
      <c r="A48" s="160" t="s">
        <v>430</v>
      </c>
      <c r="B48" s="123" t="s">
        <v>132</v>
      </c>
      <c r="C48" s="45">
        <v>2016</v>
      </c>
      <c r="D48" s="101" t="s">
        <v>45</v>
      </c>
      <c r="E48" s="101">
        <v>5</v>
      </c>
      <c r="F48" s="101" t="s">
        <v>47</v>
      </c>
      <c r="G48" s="12">
        <v>3.13</v>
      </c>
      <c r="H48" s="3">
        <v>1909</v>
      </c>
      <c r="I48" s="145">
        <v>0.48999999999999977</v>
      </c>
      <c r="J48" s="145">
        <v>0.48999999999999977</v>
      </c>
      <c r="K48" s="118"/>
      <c r="L48" s="46" t="s">
        <v>308</v>
      </c>
      <c r="M48" s="133"/>
    </row>
    <row r="49" spans="1:13" ht="30" x14ac:dyDescent="0.25">
      <c r="A49" s="160" t="s">
        <v>441</v>
      </c>
      <c r="B49" s="104" t="s">
        <v>134</v>
      </c>
      <c r="C49" s="101">
        <v>2017</v>
      </c>
      <c r="D49" s="101" t="s">
        <v>45</v>
      </c>
      <c r="E49" s="101">
        <v>8</v>
      </c>
      <c r="F49" s="101" t="s">
        <v>26</v>
      </c>
      <c r="G49" s="2">
        <v>1.32</v>
      </c>
      <c r="H49" s="3">
        <v>1909</v>
      </c>
      <c r="I49" s="145">
        <v>0.27</v>
      </c>
      <c r="J49" s="145">
        <v>0.27</v>
      </c>
      <c r="K49" s="118"/>
      <c r="L49" s="46"/>
      <c r="M49" s="133"/>
    </row>
    <row r="50" spans="1:13" ht="30" x14ac:dyDescent="0.25">
      <c r="A50" s="160" t="s">
        <v>482</v>
      </c>
      <c r="B50" s="104" t="s">
        <v>136</v>
      </c>
      <c r="C50" s="101">
        <v>2018</v>
      </c>
      <c r="D50" s="101" t="s">
        <v>48</v>
      </c>
      <c r="E50" s="103">
        <v>13</v>
      </c>
      <c r="F50" s="103" t="s">
        <v>26</v>
      </c>
      <c r="G50" s="12">
        <v>1.4</v>
      </c>
      <c r="H50" s="16">
        <v>1954</v>
      </c>
      <c r="I50" s="145">
        <v>0.24</v>
      </c>
      <c r="J50" s="145">
        <v>0.24</v>
      </c>
      <c r="K50" s="118"/>
      <c r="L50" s="46" t="s">
        <v>309</v>
      </c>
      <c r="M50" s="133"/>
    </row>
    <row r="51" spans="1:13" x14ac:dyDescent="0.25">
      <c r="A51" s="100">
        <v>5</v>
      </c>
      <c r="B51" s="31" t="s">
        <v>7</v>
      </c>
      <c r="C51" s="101"/>
      <c r="D51" s="88"/>
      <c r="E51" s="88"/>
      <c r="F51" s="88"/>
      <c r="G51" s="92">
        <f>SUM(G52:G59)</f>
        <v>24.249999999999996</v>
      </c>
      <c r="H51" s="87"/>
      <c r="I51" s="92">
        <f>SUM(I52:I59)</f>
        <v>5.16</v>
      </c>
      <c r="J51" s="92">
        <f>SUM(J52:J59)</f>
        <v>4.7200000000000006</v>
      </c>
      <c r="K51" s="92">
        <f>SUM(K52:K59)</f>
        <v>0.43999999999999995</v>
      </c>
      <c r="L51" s="164"/>
      <c r="M51" s="135"/>
    </row>
    <row r="52" spans="1:13" ht="30" x14ac:dyDescent="0.25">
      <c r="A52" s="160" t="s">
        <v>431</v>
      </c>
      <c r="B52" s="104" t="s">
        <v>137</v>
      </c>
      <c r="C52" s="101">
        <v>2015</v>
      </c>
      <c r="D52" s="103" t="s">
        <v>49</v>
      </c>
      <c r="E52" s="103">
        <v>4</v>
      </c>
      <c r="F52" s="103">
        <v>1</v>
      </c>
      <c r="G52" s="12">
        <v>3</v>
      </c>
      <c r="H52" s="16">
        <v>1900</v>
      </c>
      <c r="I52" s="145">
        <v>1.22</v>
      </c>
      <c r="J52" s="145">
        <v>1.22</v>
      </c>
      <c r="K52" s="118"/>
      <c r="L52" s="46" t="s">
        <v>310</v>
      </c>
      <c r="M52" s="133"/>
    </row>
    <row r="53" spans="1:13" ht="30" x14ac:dyDescent="0.25">
      <c r="A53" s="160" t="s">
        <v>432</v>
      </c>
      <c r="B53" s="123" t="s">
        <v>138</v>
      </c>
      <c r="C53" s="45">
        <v>2016</v>
      </c>
      <c r="D53" s="103" t="s">
        <v>51</v>
      </c>
      <c r="E53" s="103">
        <v>7</v>
      </c>
      <c r="F53" s="103">
        <v>1</v>
      </c>
      <c r="G53" s="12">
        <v>3.3</v>
      </c>
      <c r="H53" s="16">
        <v>1900</v>
      </c>
      <c r="I53" s="145">
        <v>0.41999999999999993</v>
      </c>
      <c r="J53" s="145">
        <v>0.41999999999999993</v>
      </c>
      <c r="K53" s="118"/>
      <c r="L53" s="46" t="s">
        <v>305</v>
      </c>
      <c r="M53" s="133"/>
    </row>
    <row r="54" spans="1:13" ht="30" x14ac:dyDescent="0.25">
      <c r="A54" s="160" t="s">
        <v>433</v>
      </c>
      <c r="B54" s="123" t="s">
        <v>140</v>
      </c>
      <c r="C54" s="45">
        <v>2016</v>
      </c>
      <c r="D54" s="103" t="s">
        <v>51</v>
      </c>
      <c r="E54" s="103">
        <v>7</v>
      </c>
      <c r="F54" s="103">
        <v>5</v>
      </c>
      <c r="G54" s="12">
        <v>1.4</v>
      </c>
      <c r="H54" s="16">
        <v>1850</v>
      </c>
      <c r="I54" s="145">
        <v>0.30999999999999983</v>
      </c>
      <c r="J54" s="145">
        <v>0.30999999999999983</v>
      </c>
      <c r="K54" s="118"/>
      <c r="L54" s="46" t="s">
        <v>311</v>
      </c>
      <c r="M54" s="133"/>
    </row>
    <row r="55" spans="1:13" x14ac:dyDescent="0.25">
      <c r="A55" s="198" t="s">
        <v>442</v>
      </c>
      <c r="B55" s="199" t="s">
        <v>141</v>
      </c>
      <c r="C55" s="200">
        <v>2017</v>
      </c>
      <c r="D55" s="103" t="s">
        <v>49</v>
      </c>
      <c r="E55" s="103">
        <v>4</v>
      </c>
      <c r="F55" s="103" t="s">
        <v>26</v>
      </c>
      <c r="G55" s="12">
        <v>4.04</v>
      </c>
      <c r="H55" s="16">
        <v>1900</v>
      </c>
      <c r="I55" s="145">
        <v>0.87999999999999989</v>
      </c>
      <c r="J55" s="145">
        <v>0.87999999999999989</v>
      </c>
      <c r="K55" s="118"/>
      <c r="L55" s="46" t="s">
        <v>312</v>
      </c>
      <c r="M55" s="133"/>
    </row>
    <row r="56" spans="1:13" x14ac:dyDescent="0.25">
      <c r="A56" s="198"/>
      <c r="B56" s="199"/>
      <c r="C56" s="200"/>
      <c r="D56" s="103" t="s">
        <v>51</v>
      </c>
      <c r="E56" s="103">
        <v>6</v>
      </c>
      <c r="F56" s="103" t="s">
        <v>26</v>
      </c>
      <c r="G56" s="12">
        <v>2.17</v>
      </c>
      <c r="H56" s="16">
        <v>1900</v>
      </c>
      <c r="I56" s="145">
        <v>0.43999999999999995</v>
      </c>
      <c r="J56" s="112"/>
      <c r="K56" s="145">
        <v>0.43999999999999995</v>
      </c>
      <c r="L56" s="166" t="s">
        <v>52</v>
      </c>
      <c r="M56" s="136"/>
    </row>
    <row r="57" spans="1:13" x14ac:dyDescent="0.25">
      <c r="A57" s="198"/>
      <c r="B57" s="199"/>
      <c r="C57" s="200"/>
      <c r="D57" s="103">
        <v>228</v>
      </c>
      <c r="E57" s="103">
        <v>3</v>
      </c>
      <c r="F57" s="103" t="s">
        <v>28</v>
      </c>
      <c r="G57" s="12">
        <v>4.9400000000000004</v>
      </c>
      <c r="H57" s="16">
        <v>1900</v>
      </c>
      <c r="I57" s="145">
        <v>0.19000000000000039</v>
      </c>
      <c r="J57" s="145">
        <v>0.19000000000000039</v>
      </c>
      <c r="K57" s="118"/>
      <c r="L57" s="46" t="s">
        <v>313</v>
      </c>
      <c r="M57" s="133"/>
    </row>
    <row r="58" spans="1:13" x14ac:dyDescent="0.25">
      <c r="A58" s="198" t="s">
        <v>443</v>
      </c>
      <c r="B58" s="199" t="s">
        <v>143</v>
      </c>
      <c r="C58" s="200">
        <v>2018</v>
      </c>
      <c r="D58" s="103" t="s">
        <v>53</v>
      </c>
      <c r="E58" s="103">
        <v>10</v>
      </c>
      <c r="F58" s="103" t="s">
        <v>26</v>
      </c>
      <c r="G58" s="12">
        <v>2</v>
      </c>
      <c r="H58" s="16">
        <v>1970</v>
      </c>
      <c r="I58" s="145">
        <v>0.62000000000000011</v>
      </c>
      <c r="J58" s="145">
        <v>0.62000000000000011</v>
      </c>
      <c r="K58" s="118"/>
      <c r="L58" s="46"/>
      <c r="M58" s="133"/>
    </row>
    <row r="59" spans="1:13" x14ac:dyDescent="0.25">
      <c r="A59" s="198"/>
      <c r="B59" s="199"/>
      <c r="C59" s="200"/>
      <c r="D59" s="103" t="s">
        <v>51</v>
      </c>
      <c r="E59" s="103">
        <v>6</v>
      </c>
      <c r="F59" s="103" t="s">
        <v>22</v>
      </c>
      <c r="G59" s="12">
        <v>3.4</v>
      </c>
      <c r="H59" s="16">
        <v>1980</v>
      </c>
      <c r="I59" s="145">
        <v>1.08</v>
      </c>
      <c r="J59" s="145">
        <v>1.08</v>
      </c>
      <c r="K59" s="118"/>
      <c r="L59" s="46" t="s">
        <v>417</v>
      </c>
      <c r="M59" s="133"/>
    </row>
    <row r="60" spans="1:13" ht="28.5" x14ac:dyDescent="0.25">
      <c r="A60" s="100">
        <v>6</v>
      </c>
      <c r="B60" s="31" t="s">
        <v>93</v>
      </c>
      <c r="C60" s="101"/>
      <c r="D60" s="88"/>
      <c r="E60" s="88"/>
      <c r="F60" s="88"/>
      <c r="G60" s="92">
        <f>G61</f>
        <v>2.35</v>
      </c>
      <c r="H60" s="87"/>
      <c r="I60" s="92">
        <f>I61</f>
        <v>0.55000000000000004</v>
      </c>
      <c r="J60" s="92">
        <f>J61</f>
        <v>0.55000000000000004</v>
      </c>
      <c r="K60" s="92">
        <f>K61</f>
        <v>0</v>
      </c>
      <c r="L60" s="164"/>
      <c r="M60" s="135"/>
    </row>
    <row r="61" spans="1:13" ht="45" x14ac:dyDescent="0.25">
      <c r="A61" s="103" t="s">
        <v>434</v>
      </c>
      <c r="B61" s="104" t="s">
        <v>147</v>
      </c>
      <c r="C61" s="101">
        <v>2015</v>
      </c>
      <c r="D61" s="103">
        <v>638</v>
      </c>
      <c r="E61" s="103">
        <v>1</v>
      </c>
      <c r="F61" s="103" t="s">
        <v>321</v>
      </c>
      <c r="G61" s="17">
        <v>2.35</v>
      </c>
      <c r="H61" s="16">
        <v>2087</v>
      </c>
      <c r="I61" s="145">
        <v>0.55000000000000004</v>
      </c>
      <c r="J61" s="145">
        <v>0.55000000000000004</v>
      </c>
      <c r="K61" s="118"/>
      <c r="L61" s="46"/>
      <c r="M61" s="133"/>
    </row>
    <row r="62" spans="1:13" x14ac:dyDescent="0.25">
      <c r="A62" s="100">
        <v>7</v>
      </c>
      <c r="B62" s="31" t="s">
        <v>95</v>
      </c>
      <c r="C62" s="101"/>
      <c r="D62" s="88"/>
      <c r="E62" s="88"/>
      <c r="F62" s="88"/>
      <c r="G62" s="92">
        <f>SUM(G63:G68)</f>
        <v>11.37</v>
      </c>
      <c r="H62" s="87"/>
      <c r="I62" s="92">
        <f>SUM(I63:I68)</f>
        <v>1.22</v>
      </c>
      <c r="J62" s="92">
        <f>SUM(J63:J68)</f>
        <v>1.22</v>
      </c>
      <c r="K62" s="92">
        <f>SUM(K63:K68)</f>
        <v>0</v>
      </c>
      <c r="L62" s="164"/>
      <c r="M62" s="131"/>
    </row>
    <row r="63" spans="1:13" ht="30" x14ac:dyDescent="0.25">
      <c r="A63" s="103" t="s">
        <v>411</v>
      </c>
      <c r="B63" s="104" t="s">
        <v>150</v>
      </c>
      <c r="C63" s="106">
        <v>2015</v>
      </c>
      <c r="D63" s="35">
        <v>221</v>
      </c>
      <c r="E63" s="35">
        <v>9</v>
      </c>
      <c r="F63" s="35" t="s">
        <v>28</v>
      </c>
      <c r="G63" s="6">
        <v>3</v>
      </c>
      <c r="H63" s="25">
        <v>1890</v>
      </c>
      <c r="I63" s="145">
        <v>0.2799999999999998</v>
      </c>
      <c r="J63" s="145">
        <v>0.2799999999999998</v>
      </c>
      <c r="K63" s="118"/>
      <c r="L63" s="46"/>
      <c r="M63" s="133"/>
    </row>
    <row r="64" spans="1:13" ht="30" x14ac:dyDescent="0.25">
      <c r="A64" s="103" t="s">
        <v>450</v>
      </c>
      <c r="B64" s="104" t="s">
        <v>151</v>
      </c>
      <c r="C64" s="106">
        <v>2015</v>
      </c>
      <c r="D64" s="35">
        <v>221</v>
      </c>
      <c r="E64" s="35">
        <v>8</v>
      </c>
      <c r="F64" s="35" t="s">
        <v>27</v>
      </c>
      <c r="G64" s="6">
        <v>2.75</v>
      </c>
      <c r="H64" s="25">
        <v>1890</v>
      </c>
      <c r="I64" s="145">
        <v>8.0000000000000071E-2</v>
      </c>
      <c r="J64" s="145">
        <v>8.0000000000000071E-2</v>
      </c>
      <c r="K64" s="118"/>
      <c r="L64" s="46"/>
      <c r="M64" s="133"/>
    </row>
    <row r="65" spans="1:13" ht="30" x14ac:dyDescent="0.25">
      <c r="A65" s="103" t="s">
        <v>484</v>
      </c>
      <c r="B65" s="104" t="s">
        <v>152</v>
      </c>
      <c r="C65" s="106">
        <v>2015</v>
      </c>
      <c r="D65" s="35">
        <v>221</v>
      </c>
      <c r="E65" s="35">
        <v>6</v>
      </c>
      <c r="F65" s="35" t="s">
        <v>26</v>
      </c>
      <c r="G65" s="6">
        <v>1.9</v>
      </c>
      <c r="H65" s="25">
        <v>1890</v>
      </c>
      <c r="I65" s="145">
        <v>0.15999999999999992</v>
      </c>
      <c r="J65" s="145">
        <v>0.15999999999999992</v>
      </c>
      <c r="K65" s="118"/>
      <c r="L65" s="46"/>
      <c r="M65" s="133"/>
    </row>
    <row r="66" spans="1:13" ht="30" x14ac:dyDescent="0.25">
      <c r="A66" s="103" t="s">
        <v>485</v>
      </c>
      <c r="B66" s="104" t="s">
        <v>155</v>
      </c>
      <c r="C66" s="106">
        <v>2015</v>
      </c>
      <c r="D66" s="35">
        <v>236</v>
      </c>
      <c r="E66" s="35">
        <v>1</v>
      </c>
      <c r="F66" s="35" t="s">
        <v>33</v>
      </c>
      <c r="G66" s="6">
        <v>1.52</v>
      </c>
      <c r="H66" s="25">
        <v>1890</v>
      </c>
      <c r="I66" s="145">
        <v>0.35000000000000009</v>
      </c>
      <c r="J66" s="145">
        <v>0.35000000000000009</v>
      </c>
      <c r="K66" s="118"/>
      <c r="L66" s="46"/>
      <c r="M66" s="133"/>
    </row>
    <row r="67" spans="1:13" ht="30" x14ac:dyDescent="0.25">
      <c r="A67" s="103" t="s">
        <v>486</v>
      </c>
      <c r="B67" s="104" t="s">
        <v>158</v>
      </c>
      <c r="C67" s="106">
        <v>2016</v>
      </c>
      <c r="D67" s="35">
        <v>290</v>
      </c>
      <c r="E67" s="35">
        <v>3</v>
      </c>
      <c r="F67" s="35" t="s">
        <v>26</v>
      </c>
      <c r="G67" s="6">
        <v>1.1000000000000001</v>
      </c>
      <c r="H67" s="25">
        <v>1988</v>
      </c>
      <c r="I67" s="145">
        <v>0.2400000000000001</v>
      </c>
      <c r="J67" s="145">
        <v>0.2400000000000001</v>
      </c>
      <c r="K67" s="118"/>
      <c r="L67" s="46"/>
      <c r="M67" s="133"/>
    </row>
    <row r="68" spans="1:13" ht="30" x14ac:dyDescent="0.25">
      <c r="A68" s="103" t="s">
        <v>487</v>
      </c>
      <c r="B68" s="104" t="s">
        <v>162</v>
      </c>
      <c r="C68" s="106">
        <v>2019</v>
      </c>
      <c r="D68" s="35">
        <v>264</v>
      </c>
      <c r="E68" s="35">
        <v>5</v>
      </c>
      <c r="F68" s="35" t="s">
        <v>32</v>
      </c>
      <c r="G68" s="6">
        <v>1.1000000000000001</v>
      </c>
      <c r="H68" s="25">
        <v>1950</v>
      </c>
      <c r="I68" s="145">
        <v>0.1100000000000001</v>
      </c>
      <c r="J68" s="145">
        <v>0.1100000000000001</v>
      </c>
      <c r="K68" s="118"/>
      <c r="L68" s="46"/>
      <c r="M68" s="133"/>
    </row>
    <row r="69" spans="1:13" x14ac:dyDescent="0.25">
      <c r="A69" s="100">
        <v>8</v>
      </c>
      <c r="B69" s="31" t="s">
        <v>5</v>
      </c>
      <c r="C69" s="101"/>
      <c r="D69" s="88"/>
      <c r="E69" s="88"/>
      <c r="F69" s="88"/>
      <c r="G69" s="92">
        <f>SUM(G70:G78)</f>
        <v>20.080000000000002</v>
      </c>
      <c r="H69" s="87"/>
      <c r="I69" s="92">
        <f>SUM(I70:I78)</f>
        <v>4.8599999999999994</v>
      </c>
      <c r="J69" s="92">
        <f>SUM(J70:J78)</f>
        <v>4.6899999999999995</v>
      </c>
      <c r="K69" s="92">
        <f>SUM(K70:K78)</f>
        <v>0.16999999999999993</v>
      </c>
      <c r="L69" s="165"/>
      <c r="M69" s="132"/>
    </row>
    <row r="70" spans="1:13" ht="45" x14ac:dyDescent="0.25">
      <c r="A70" s="103" t="s">
        <v>451</v>
      </c>
      <c r="B70" s="104" t="s">
        <v>164</v>
      </c>
      <c r="C70" s="106">
        <v>2014</v>
      </c>
      <c r="D70" s="103">
        <v>237</v>
      </c>
      <c r="E70" s="103">
        <v>9</v>
      </c>
      <c r="F70" s="103" t="s">
        <v>37</v>
      </c>
      <c r="G70" s="12">
        <v>1.73</v>
      </c>
      <c r="H70" s="16">
        <v>1900</v>
      </c>
      <c r="I70" s="145">
        <v>0.58000000000000007</v>
      </c>
      <c r="J70" s="145">
        <v>0.58000000000000007</v>
      </c>
      <c r="K70" s="118"/>
      <c r="L70" s="166" t="s">
        <v>58</v>
      </c>
      <c r="M70" s="136"/>
    </row>
    <row r="71" spans="1:13" ht="30" x14ac:dyDescent="0.25">
      <c r="A71" s="103" t="s">
        <v>452</v>
      </c>
      <c r="B71" s="104" t="s">
        <v>168</v>
      </c>
      <c r="C71" s="106">
        <v>2015</v>
      </c>
      <c r="D71" s="103">
        <v>214</v>
      </c>
      <c r="E71" s="103">
        <v>6</v>
      </c>
      <c r="F71" s="103" t="s">
        <v>37</v>
      </c>
      <c r="G71" s="12">
        <v>2.86</v>
      </c>
      <c r="H71" s="16">
        <v>1900</v>
      </c>
      <c r="I71" s="145">
        <v>0.16999999999999993</v>
      </c>
      <c r="J71" s="112"/>
      <c r="K71" s="145">
        <v>0.16999999999999993</v>
      </c>
      <c r="L71" s="166" t="s">
        <v>59</v>
      </c>
      <c r="M71" s="136"/>
    </row>
    <row r="72" spans="1:13" ht="30" x14ac:dyDescent="0.25">
      <c r="A72" s="103" t="s">
        <v>488</v>
      </c>
      <c r="B72" s="104" t="s">
        <v>170</v>
      </c>
      <c r="C72" s="106">
        <v>2016</v>
      </c>
      <c r="D72" s="103">
        <v>237</v>
      </c>
      <c r="E72" s="103">
        <v>9</v>
      </c>
      <c r="F72" s="103" t="s">
        <v>60</v>
      </c>
      <c r="G72" s="12">
        <v>0.5</v>
      </c>
      <c r="H72" s="16">
        <v>1940</v>
      </c>
      <c r="I72" s="145">
        <v>0.5</v>
      </c>
      <c r="J72" s="145">
        <v>0.5</v>
      </c>
      <c r="K72" s="145"/>
      <c r="L72" s="166" t="s">
        <v>404</v>
      </c>
      <c r="M72" s="136"/>
    </row>
    <row r="73" spans="1:13" ht="30" x14ac:dyDescent="0.25">
      <c r="A73" s="103" t="s">
        <v>489</v>
      </c>
      <c r="B73" s="104" t="s">
        <v>172</v>
      </c>
      <c r="C73" s="106">
        <v>2016</v>
      </c>
      <c r="D73" s="103">
        <v>213</v>
      </c>
      <c r="E73" s="103">
        <v>8</v>
      </c>
      <c r="F73" s="103" t="s">
        <v>41</v>
      </c>
      <c r="G73" s="12">
        <v>7.23</v>
      </c>
      <c r="H73" s="16">
        <v>1980</v>
      </c>
      <c r="I73" s="145">
        <v>0.79</v>
      </c>
      <c r="J73" s="145">
        <v>0.79</v>
      </c>
      <c r="K73" s="118"/>
      <c r="L73" s="166" t="s">
        <v>61</v>
      </c>
      <c r="M73" s="136"/>
    </row>
    <row r="74" spans="1:13" ht="30" x14ac:dyDescent="0.25">
      <c r="A74" s="103" t="s">
        <v>491</v>
      </c>
      <c r="B74" s="104" t="s">
        <v>174</v>
      </c>
      <c r="C74" s="106">
        <v>2017</v>
      </c>
      <c r="D74" s="103">
        <v>213</v>
      </c>
      <c r="E74" s="103">
        <v>8</v>
      </c>
      <c r="F74" s="103" t="s">
        <v>62</v>
      </c>
      <c r="G74" s="12">
        <v>1.9</v>
      </c>
      <c r="H74" s="16">
        <v>1950</v>
      </c>
      <c r="I74" s="145">
        <v>0.34999999999999987</v>
      </c>
      <c r="J74" s="145">
        <v>0.34999999999999987</v>
      </c>
      <c r="K74" s="118"/>
      <c r="L74" s="166" t="s">
        <v>63</v>
      </c>
      <c r="M74" s="136"/>
    </row>
    <row r="75" spans="1:13" ht="30" x14ac:dyDescent="0.25">
      <c r="A75" s="124" t="s">
        <v>492</v>
      </c>
      <c r="B75" s="126" t="s">
        <v>175</v>
      </c>
      <c r="C75" s="125">
        <v>2017</v>
      </c>
      <c r="D75" s="103">
        <v>215</v>
      </c>
      <c r="E75" s="103">
        <v>6</v>
      </c>
      <c r="F75" s="103" t="s">
        <v>32</v>
      </c>
      <c r="G75" s="12">
        <v>0.5</v>
      </c>
      <c r="H75" s="16">
        <v>1900</v>
      </c>
      <c r="I75" s="145">
        <v>0.15000000000000002</v>
      </c>
      <c r="J75" s="145">
        <v>0.15000000000000002</v>
      </c>
      <c r="K75" s="118"/>
      <c r="L75" s="166" t="s">
        <v>64</v>
      </c>
      <c r="M75" s="136"/>
    </row>
    <row r="76" spans="1:13" ht="30" x14ac:dyDescent="0.25">
      <c r="A76" s="124" t="s">
        <v>493</v>
      </c>
      <c r="B76" s="126" t="s">
        <v>177</v>
      </c>
      <c r="C76" s="125">
        <v>2017</v>
      </c>
      <c r="D76" s="103">
        <v>215</v>
      </c>
      <c r="E76" s="103">
        <v>6</v>
      </c>
      <c r="F76" s="103" t="s">
        <v>33</v>
      </c>
      <c r="G76" s="12">
        <v>1.43</v>
      </c>
      <c r="H76" s="16">
        <v>1900</v>
      </c>
      <c r="I76" s="145">
        <v>9.9999999999999867E-2</v>
      </c>
      <c r="J76" s="145">
        <v>9.9999999999999867E-2</v>
      </c>
      <c r="K76" s="118"/>
      <c r="L76" s="166" t="s">
        <v>65</v>
      </c>
      <c r="M76" s="136"/>
    </row>
    <row r="77" spans="1:13" ht="30" x14ac:dyDescent="0.25">
      <c r="A77" s="103" t="s">
        <v>494</v>
      </c>
      <c r="B77" s="104" t="s">
        <v>178</v>
      </c>
      <c r="C77" s="106">
        <v>2018</v>
      </c>
      <c r="D77" s="103">
        <v>237</v>
      </c>
      <c r="E77" s="103">
        <v>7</v>
      </c>
      <c r="F77" s="103" t="s">
        <v>32</v>
      </c>
      <c r="G77" s="12">
        <v>3.34</v>
      </c>
      <c r="H77" s="16">
        <v>1900</v>
      </c>
      <c r="I77" s="145">
        <v>1.63</v>
      </c>
      <c r="J77" s="145">
        <v>1.63</v>
      </c>
      <c r="K77" s="118"/>
      <c r="L77" s="166" t="s">
        <v>67</v>
      </c>
      <c r="M77" s="136"/>
    </row>
    <row r="78" spans="1:13" ht="30" x14ac:dyDescent="0.25">
      <c r="A78" s="103" t="s">
        <v>495</v>
      </c>
      <c r="B78" s="104" t="s">
        <v>181</v>
      </c>
      <c r="C78" s="106">
        <v>2019</v>
      </c>
      <c r="D78" s="103">
        <v>238</v>
      </c>
      <c r="E78" s="103">
        <v>6</v>
      </c>
      <c r="F78" s="103" t="s">
        <v>33</v>
      </c>
      <c r="G78" s="12">
        <v>0.59</v>
      </c>
      <c r="H78" s="16">
        <v>190</v>
      </c>
      <c r="I78" s="145">
        <v>0.59</v>
      </c>
      <c r="J78" s="145">
        <v>0.59</v>
      </c>
      <c r="K78" s="118"/>
      <c r="L78" s="166" t="s">
        <v>404</v>
      </c>
      <c r="M78" s="136"/>
    </row>
    <row r="79" spans="1:13" x14ac:dyDescent="0.25">
      <c r="A79" s="100">
        <v>9</v>
      </c>
      <c r="B79" s="31" t="s">
        <v>3</v>
      </c>
      <c r="C79" s="101"/>
      <c r="D79" s="88"/>
      <c r="E79" s="88"/>
      <c r="F79" s="88"/>
      <c r="G79" s="92">
        <f>SUM(G80:G81)</f>
        <v>4.34</v>
      </c>
      <c r="H79" s="87"/>
      <c r="I79" s="92">
        <f>SUM(I80:I81)</f>
        <v>1.0400000000000005</v>
      </c>
      <c r="J79" s="92">
        <f>SUM(J80:J81)</f>
        <v>1.0400000000000005</v>
      </c>
      <c r="K79" s="92">
        <f>SUM(K80:K81)</f>
        <v>0</v>
      </c>
      <c r="L79" s="165"/>
      <c r="M79" s="132"/>
    </row>
    <row r="80" spans="1:13" ht="30" x14ac:dyDescent="0.25">
      <c r="A80" s="103" t="s">
        <v>453</v>
      </c>
      <c r="B80" s="104" t="s">
        <v>188</v>
      </c>
      <c r="C80" s="106">
        <v>2016</v>
      </c>
      <c r="D80" s="103">
        <v>181</v>
      </c>
      <c r="E80" s="103">
        <v>8</v>
      </c>
      <c r="F80" s="103" t="s">
        <v>28</v>
      </c>
      <c r="G80" s="12">
        <v>2.1</v>
      </c>
      <c r="H80" s="16">
        <v>2030</v>
      </c>
      <c r="I80" s="145">
        <v>0.20000000000000018</v>
      </c>
      <c r="J80" s="145">
        <v>0.20000000000000018</v>
      </c>
      <c r="K80" s="118"/>
      <c r="L80" s="166"/>
      <c r="M80" s="136"/>
    </row>
    <row r="81" spans="1:13" ht="30" x14ac:dyDescent="0.25">
      <c r="A81" s="103" t="s">
        <v>454</v>
      </c>
      <c r="B81" s="104" t="s">
        <v>337</v>
      </c>
      <c r="C81" s="106">
        <v>2019</v>
      </c>
      <c r="D81" s="103">
        <v>198</v>
      </c>
      <c r="E81" s="103">
        <v>6</v>
      </c>
      <c r="F81" s="103" t="s">
        <v>68</v>
      </c>
      <c r="G81" s="12">
        <v>2.2400000000000002</v>
      </c>
      <c r="H81" s="16">
        <v>2000</v>
      </c>
      <c r="I81" s="145">
        <v>0.8400000000000003</v>
      </c>
      <c r="J81" s="145">
        <v>0.8400000000000003</v>
      </c>
      <c r="K81" s="118"/>
      <c r="L81" s="170"/>
      <c r="M81" s="137"/>
    </row>
    <row r="82" spans="1:13" x14ac:dyDescent="0.25">
      <c r="A82" s="100">
        <v>10</v>
      </c>
      <c r="B82" s="31" t="s">
        <v>8</v>
      </c>
      <c r="C82" s="101"/>
      <c r="D82" s="88"/>
      <c r="E82" s="88"/>
      <c r="F82" s="88"/>
      <c r="G82" s="92">
        <f>SUM(G83:G94)</f>
        <v>21.799999999999997</v>
      </c>
      <c r="H82" s="87"/>
      <c r="I82" s="92">
        <f>SUM(I83:I94)</f>
        <v>4.8199999999999994</v>
      </c>
      <c r="J82" s="92">
        <f>SUM(J83:J94)</f>
        <v>4.0199999999999996</v>
      </c>
      <c r="K82" s="92">
        <f>SUM(K83:K94)</f>
        <v>0.79999999999999993</v>
      </c>
      <c r="L82" s="165"/>
      <c r="M82" s="132"/>
    </row>
    <row r="83" spans="1:13" ht="30" x14ac:dyDescent="0.25">
      <c r="A83" s="160" t="s">
        <v>455</v>
      </c>
      <c r="B83" s="104" t="s">
        <v>210</v>
      </c>
      <c r="C83" s="106">
        <v>2014</v>
      </c>
      <c r="D83" s="106">
        <v>670</v>
      </c>
      <c r="E83" s="106">
        <v>6</v>
      </c>
      <c r="F83" s="106" t="s">
        <v>26</v>
      </c>
      <c r="G83" s="38">
        <v>2.9</v>
      </c>
      <c r="H83" s="18">
        <v>2100</v>
      </c>
      <c r="I83" s="145">
        <v>0.10999999999999988</v>
      </c>
      <c r="J83" s="115"/>
      <c r="K83" s="145">
        <v>0.10999999999999988</v>
      </c>
      <c r="L83" s="47" t="s">
        <v>349</v>
      </c>
      <c r="M83" s="138"/>
    </row>
    <row r="84" spans="1:13" ht="30" x14ac:dyDescent="0.25">
      <c r="A84" s="160" t="s">
        <v>456</v>
      </c>
      <c r="B84" s="104" t="s">
        <v>211</v>
      </c>
      <c r="C84" s="106">
        <v>2014</v>
      </c>
      <c r="D84" s="106">
        <v>670</v>
      </c>
      <c r="E84" s="106">
        <v>3</v>
      </c>
      <c r="F84" s="106" t="s">
        <v>26</v>
      </c>
      <c r="G84" s="38">
        <v>2.2000000000000002</v>
      </c>
      <c r="H84" s="18">
        <v>2050</v>
      </c>
      <c r="I84" s="145">
        <v>0.76</v>
      </c>
      <c r="J84" s="115">
        <v>0.39</v>
      </c>
      <c r="K84" s="118">
        <v>0.37</v>
      </c>
      <c r="L84" s="47" t="s">
        <v>344</v>
      </c>
      <c r="M84" s="138"/>
    </row>
    <row r="85" spans="1:13" ht="30" x14ac:dyDescent="0.25">
      <c r="A85" s="160" t="s">
        <v>457</v>
      </c>
      <c r="B85" s="123" t="s">
        <v>213</v>
      </c>
      <c r="C85" s="19">
        <v>2015</v>
      </c>
      <c r="D85" s="106">
        <v>667</v>
      </c>
      <c r="E85" s="106">
        <v>7</v>
      </c>
      <c r="F85" s="106" t="s">
        <v>22</v>
      </c>
      <c r="G85" s="38">
        <v>3.3</v>
      </c>
      <c r="H85" s="18">
        <v>1900</v>
      </c>
      <c r="I85" s="145">
        <v>0.52</v>
      </c>
      <c r="J85" s="145">
        <v>0.52</v>
      </c>
      <c r="K85" s="118"/>
      <c r="L85" s="47" t="s">
        <v>347</v>
      </c>
      <c r="M85" s="138"/>
    </row>
    <row r="86" spans="1:13" ht="30" x14ac:dyDescent="0.25">
      <c r="A86" s="160" t="s">
        <v>458</v>
      </c>
      <c r="B86" s="104" t="s">
        <v>214</v>
      </c>
      <c r="C86" s="106">
        <v>2015</v>
      </c>
      <c r="D86" s="106">
        <v>670</v>
      </c>
      <c r="E86" s="106">
        <v>4</v>
      </c>
      <c r="F86" s="106" t="s">
        <v>26</v>
      </c>
      <c r="G86" s="38">
        <v>1.1000000000000001</v>
      </c>
      <c r="H86" s="18">
        <v>2000</v>
      </c>
      <c r="I86" s="145">
        <v>0.10000000000000009</v>
      </c>
      <c r="J86" s="115"/>
      <c r="K86" s="145">
        <v>0.10000000000000009</v>
      </c>
      <c r="L86" s="47" t="s">
        <v>348</v>
      </c>
      <c r="M86" s="138"/>
    </row>
    <row r="87" spans="1:13" x14ac:dyDescent="0.25">
      <c r="A87" s="198" t="s">
        <v>459</v>
      </c>
      <c r="B87" s="199" t="s">
        <v>218</v>
      </c>
      <c r="C87" s="207">
        <v>2015</v>
      </c>
      <c r="D87" s="106">
        <v>348</v>
      </c>
      <c r="E87" s="106">
        <v>1</v>
      </c>
      <c r="F87" s="106" t="s">
        <v>26</v>
      </c>
      <c r="G87" s="38">
        <v>3.1</v>
      </c>
      <c r="H87" s="18">
        <v>2100</v>
      </c>
      <c r="I87" s="145">
        <v>0.18000000000000016</v>
      </c>
      <c r="J87" s="145">
        <v>0.18000000000000016</v>
      </c>
      <c r="K87" s="118"/>
      <c r="L87" s="47" t="s">
        <v>350</v>
      </c>
      <c r="M87" s="138"/>
    </row>
    <row r="88" spans="1:13" x14ac:dyDescent="0.25">
      <c r="A88" s="198"/>
      <c r="B88" s="199"/>
      <c r="C88" s="207"/>
      <c r="D88" s="106">
        <v>348</v>
      </c>
      <c r="E88" s="106">
        <v>1</v>
      </c>
      <c r="F88" s="106" t="s">
        <v>28</v>
      </c>
      <c r="G88" s="38">
        <v>1.9</v>
      </c>
      <c r="H88" s="18">
        <v>1900</v>
      </c>
      <c r="I88" s="145">
        <v>0.39999999999999991</v>
      </c>
      <c r="J88" s="145">
        <v>0.39999999999999991</v>
      </c>
      <c r="K88" s="118"/>
      <c r="L88" s="47" t="s">
        <v>351</v>
      </c>
      <c r="M88" s="138"/>
    </row>
    <row r="89" spans="1:13" ht="30" x14ac:dyDescent="0.25">
      <c r="A89" s="163" t="s">
        <v>460</v>
      </c>
      <c r="B89" s="123" t="s">
        <v>222</v>
      </c>
      <c r="C89" s="19">
        <v>2016</v>
      </c>
      <c r="D89" s="125" t="s">
        <v>85</v>
      </c>
      <c r="E89" s="125">
        <v>2</v>
      </c>
      <c r="F89" s="125" t="s">
        <v>28</v>
      </c>
      <c r="G89" s="38">
        <v>1.2</v>
      </c>
      <c r="H89" s="18">
        <v>1950</v>
      </c>
      <c r="I89" s="145">
        <v>0.21999999999999997</v>
      </c>
      <c r="J89" s="115"/>
      <c r="K89" s="145">
        <v>0.21999999999999997</v>
      </c>
      <c r="L89" s="47" t="s">
        <v>352</v>
      </c>
      <c r="M89" s="138"/>
    </row>
    <row r="90" spans="1:13" ht="30" x14ac:dyDescent="0.25">
      <c r="A90" s="163" t="s">
        <v>461</v>
      </c>
      <c r="B90" s="104" t="s">
        <v>224</v>
      </c>
      <c r="C90" s="106">
        <v>2017</v>
      </c>
      <c r="D90" s="106">
        <v>642</v>
      </c>
      <c r="E90" s="106">
        <v>6</v>
      </c>
      <c r="F90" s="106" t="s">
        <v>66</v>
      </c>
      <c r="G90" s="38">
        <v>1.6</v>
      </c>
      <c r="H90" s="18">
        <v>2000</v>
      </c>
      <c r="I90" s="145">
        <v>6.0000000000000053E-2</v>
      </c>
      <c r="J90" s="145">
        <v>6.0000000000000053E-2</v>
      </c>
      <c r="K90" s="118"/>
      <c r="L90" s="47" t="s">
        <v>353</v>
      </c>
      <c r="M90" s="138"/>
    </row>
    <row r="91" spans="1:13" x14ac:dyDescent="0.25">
      <c r="A91" s="206" t="s">
        <v>496</v>
      </c>
      <c r="B91" s="199" t="s">
        <v>226</v>
      </c>
      <c r="C91" s="207">
        <v>2017</v>
      </c>
      <c r="D91" s="106" t="s">
        <v>86</v>
      </c>
      <c r="E91" s="106">
        <v>4</v>
      </c>
      <c r="F91" s="106" t="s">
        <v>28</v>
      </c>
      <c r="G91" s="38">
        <v>1.7</v>
      </c>
      <c r="H91" s="18">
        <v>1900</v>
      </c>
      <c r="I91" s="145">
        <v>1.0299999999999998</v>
      </c>
      <c r="J91" s="145">
        <v>1.0299999999999998</v>
      </c>
      <c r="K91" s="118"/>
      <c r="L91" s="47" t="s">
        <v>354</v>
      </c>
      <c r="M91" s="138"/>
    </row>
    <row r="92" spans="1:13" x14ac:dyDescent="0.25">
      <c r="A92" s="206"/>
      <c r="B92" s="199"/>
      <c r="C92" s="207"/>
      <c r="D92" s="106" t="s">
        <v>87</v>
      </c>
      <c r="E92" s="106">
        <v>5</v>
      </c>
      <c r="F92" s="106" t="s">
        <v>26</v>
      </c>
      <c r="G92" s="38">
        <v>0.5</v>
      </c>
      <c r="H92" s="18">
        <v>1900</v>
      </c>
      <c r="I92" s="145">
        <v>0.5</v>
      </c>
      <c r="J92" s="145">
        <v>0.5</v>
      </c>
      <c r="K92" s="118"/>
      <c r="L92" s="166" t="s">
        <v>404</v>
      </c>
      <c r="M92" s="136"/>
    </row>
    <row r="93" spans="1:13" x14ac:dyDescent="0.25">
      <c r="A93" s="206"/>
      <c r="B93" s="199"/>
      <c r="C93" s="207"/>
      <c r="D93" s="106" t="s">
        <v>87</v>
      </c>
      <c r="E93" s="106">
        <v>6</v>
      </c>
      <c r="F93" s="106" t="s">
        <v>28</v>
      </c>
      <c r="G93" s="38">
        <v>0.8</v>
      </c>
      <c r="H93" s="18">
        <v>1900</v>
      </c>
      <c r="I93" s="145">
        <v>0.8</v>
      </c>
      <c r="J93" s="145">
        <v>0.8</v>
      </c>
      <c r="K93" s="118"/>
      <c r="L93" s="166" t="s">
        <v>404</v>
      </c>
      <c r="M93" s="136"/>
    </row>
    <row r="94" spans="1:13" ht="30" x14ac:dyDescent="0.25">
      <c r="A94" s="163" t="s">
        <v>497</v>
      </c>
      <c r="B94" s="104" t="s">
        <v>228</v>
      </c>
      <c r="C94" s="106">
        <v>2018</v>
      </c>
      <c r="D94" s="106">
        <v>362</v>
      </c>
      <c r="E94" s="106">
        <v>1</v>
      </c>
      <c r="F94" s="106" t="s">
        <v>32</v>
      </c>
      <c r="G94" s="38">
        <v>1.5</v>
      </c>
      <c r="H94" s="18">
        <v>1860</v>
      </c>
      <c r="I94" s="145">
        <v>0.1399999999999999</v>
      </c>
      <c r="J94" s="145">
        <v>0.1399999999999999</v>
      </c>
      <c r="K94" s="118"/>
      <c r="L94" s="47" t="s">
        <v>355</v>
      </c>
      <c r="M94" s="138"/>
    </row>
    <row r="95" spans="1:13" x14ac:dyDescent="0.25">
      <c r="A95" s="100">
        <v>11</v>
      </c>
      <c r="B95" s="31" t="s">
        <v>4</v>
      </c>
      <c r="C95" s="101"/>
      <c r="D95" s="88"/>
      <c r="E95" s="88"/>
      <c r="F95" s="88"/>
      <c r="G95" s="92">
        <f>SUM(G96:G96)</f>
        <v>8</v>
      </c>
      <c r="H95" s="87"/>
      <c r="I95" s="92">
        <f>SUM(I96:I96)</f>
        <v>3.71</v>
      </c>
      <c r="J95" s="92">
        <f>SUM(J96:J96)</f>
        <v>3.71</v>
      </c>
      <c r="K95" s="92">
        <f>SUM(K96:K96)</f>
        <v>0</v>
      </c>
      <c r="L95" s="164"/>
      <c r="M95" s="135"/>
    </row>
    <row r="96" spans="1:13" ht="30" x14ac:dyDescent="0.25">
      <c r="A96" s="103" t="s">
        <v>462</v>
      </c>
      <c r="B96" s="104" t="s">
        <v>238</v>
      </c>
      <c r="C96" s="101">
        <v>2014</v>
      </c>
      <c r="D96" s="106">
        <v>443</v>
      </c>
      <c r="E96" s="106">
        <v>1</v>
      </c>
      <c r="F96" s="106" t="s">
        <v>41</v>
      </c>
      <c r="G96" s="144">
        <v>8</v>
      </c>
      <c r="H96" s="18">
        <v>1900</v>
      </c>
      <c r="I96" s="145">
        <v>3.71</v>
      </c>
      <c r="J96" s="145">
        <v>3.71</v>
      </c>
      <c r="K96" s="118"/>
      <c r="L96" s="47"/>
      <c r="M96" s="138"/>
    </row>
    <row r="97" spans="1:13" x14ac:dyDescent="0.25">
      <c r="A97" s="100">
        <v>12</v>
      </c>
      <c r="B97" s="31" t="s">
        <v>99</v>
      </c>
      <c r="C97" s="101"/>
      <c r="D97" s="88"/>
      <c r="E97" s="88"/>
      <c r="F97" s="88"/>
      <c r="G97" s="92">
        <f>SUM(G98:G99)</f>
        <v>8.17</v>
      </c>
      <c r="H97" s="87"/>
      <c r="I97" s="92">
        <f>SUM(I98:I99)</f>
        <v>1.1200000000000001</v>
      </c>
      <c r="J97" s="92">
        <f>SUM(J98:J99)</f>
        <v>0.31</v>
      </c>
      <c r="K97" s="92">
        <f>SUM(K98:K99)</f>
        <v>0.81000000000000016</v>
      </c>
      <c r="L97" s="165"/>
      <c r="M97" s="132"/>
    </row>
    <row r="98" spans="1:13" ht="30" x14ac:dyDescent="0.25">
      <c r="A98" s="198" t="s">
        <v>472</v>
      </c>
      <c r="B98" s="199" t="s">
        <v>258</v>
      </c>
      <c r="C98" s="101"/>
      <c r="D98" s="106">
        <v>602</v>
      </c>
      <c r="E98" s="106">
        <v>2</v>
      </c>
      <c r="F98" s="106" t="s">
        <v>89</v>
      </c>
      <c r="G98" s="38">
        <v>3.76</v>
      </c>
      <c r="H98" s="18">
        <v>650</v>
      </c>
      <c r="I98" s="145">
        <v>0.14000000000000012</v>
      </c>
      <c r="J98" s="115"/>
      <c r="K98" s="145">
        <v>0.14000000000000012</v>
      </c>
      <c r="L98" s="47" t="s">
        <v>90</v>
      </c>
      <c r="M98" s="138"/>
    </row>
    <row r="99" spans="1:13" ht="45" x14ac:dyDescent="0.25">
      <c r="A99" s="198"/>
      <c r="B99" s="199"/>
      <c r="C99" s="101">
        <v>2015</v>
      </c>
      <c r="D99" s="106">
        <v>603</v>
      </c>
      <c r="E99" s="106">
        <v>4</v>
      </c>
      <c r="F99" s="106" t="s">
        <v>32</v>
      </c>
      <c r="G99" s="38">
        <v>4.41</v>
      </c>
      <c r="H99" s="18"/>
      <c r="I99" s="145">
        <v>0.98</v>
      </c>
      <c r="J99" s="115">
        <v>0.31</v>
      </c>
      <c r="K99" s="118">
        <v>0.67</v>
      </c>
      <c r="L99" s="47" t="s">
        <v>415</v>
      </c>
      <c r="M99" s="143"/>
    </row>
  </sheetData>
  <autoFilter ref="A4:M99"/>
  <mergeCells count="47">
    <mergeCell ref="A17:A18"/>
    <mergeCell ref="B17:B18"/>
    <mergeCell ref="C17:C18"/>
    <mergeCell ref="A1:L1"/>
    <mergeCell ref="A2:L2"/>
    <mergeCell ref="A3:A4"/>
    <mergeCell ref="B3:B4"/>
    <mergeCell ref="C3:C4"/>
    <mergeCell ref="D3:H3"/>
    <mergeCell ref="I3:K3"/>
    <mergeCell ref="L3:L4"/>
    <mergeCell ref="A5:B5"/>
    <mergeCell ref="B6:F6"/>
    <mergeCell ref="A8:A10"/>
    <mergeCell ref="B8:B10"/>
    <mergeCell ref="C8:C10"/>
    <mergeCell ref="B25:F25"/>
    <mergeCell ref="A29:A30"/>
    <mergeCell ref="B29:B30"/>
    <mergeCell ref="C29:C30"/>
    <mergeCell ref="A24"/>
    <mergeCell ref="A36:A37"/>
    <mergeCell ref="B36:B37"/>
    <mergeCell ref="C36:C37"/>
    <mergeCell ref="A38:A40"/>
    <mergeCell ref="B38:B40"/>
    <mergeCell ref="C38:C40"/>
    <mergeCell ref="A55:A57"/>
    <mergeCell ref="B55:B57"/>
    <mergeCell ref="C55:C57"/>
    <mergeCell ref="A41:A42"/>
    <mergeCell ref="B41:B42"/>
    <mergeCell ref="C41:C42"/>
    <mergeCell ref="A44:A45"/>
    <mergeCell ref="B44:B45"/>
    <mergeCell ref="C44:C45"/>
    <mergeCell ref="A87:A88"/>
    <mergeCell ref="B87:B88"/>
    <mergeCell ref="C87:C88"/>
    <mergeCell ref="A58:A59"/>
    <mergeCell ref="B58:B59"/>
    <mergeCell ref="C58:C59"/>
    <mergeCell ref="A98:A99"/>
    <mergeCell ref="B98:B99"/>
    <mergeCell ref="A91:A93"/>
    <mergeCell ref="B91:B93"/>
    <mergeCell ref="C91:C93"/>
  </mergeCells>
  <printOptions horizontalCentered="1"/>
  <pageMargins left="0.45" right="0.45" top="0.5" bottom="0.5" header="0.3" footer="0.3"/>
  <pageSetup paperSize="9"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Biểu 01</vt:lpstr>
      <vt:lpstr>Biểu 3</vt:lpstr>
      <vt:lpstr>Biểu 02</vt:lpstr>
      <vt:lpstr>Biểu 2a</vt:lpstr>
      <vt:lpstr>Biểu 2b</vt:lpstr>
      <vt:lpstr>Biểu 2c</vt:lpstr>
      <vt:lpstr>'Biểu 01'!Print_Titles</vt:lpstr>
      <vt:lpstr>'Biểu 02'!Print_Titles</vt:lpstr>
      <vt:lpstr>'Biểu 2a'!Print_Titles</vt:lpstr>
      <vt:lpstr>'Biểu 2b'!Print_Titles</vt:lpstr>
      <vt:lpstr>'Biểu 2c'!Print_Titles</vt:lpstr>
      <vt:lpstr>'Biểu 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MYANH-KHKT</dc:creator>
  <cp:lastModifiedBy>Windows User</cp:lastModifiedBy>
  <cp:lastPrinted>2023-09-07T04:04:55Z</cp:lastPrinted>
  <dcterms:created xsi:type="dcterms:W3CDTF">2023-06-27T07:56:03Z</dcterms:created>
  <dcterms:modified xsi:type="dcterms:W3CDTF">2023-09-18T08:20:48Z</dcterms:modified>
</cp:coreProperties>
</file>